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harts/chart3.xml" ContentType="application/vnd.openxmlformats-officedocument.drawingml.chart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rki\Desktop\education-research-workflow\10_projects\2026-09-indian-equity-portfolio-monitor\04_deliverables\review\"/>
    </mc:Choice>
  </mc:AlternateContent>
  <xr:revisionPtr revIDLastSave="0" documentId="13_ncr:1_{50D20D00-03A3-4B06-A15D-A2087C258DA7}" xr6:coauthVersionLast="47" xr6:coauthVersionMax="47" xr10:uidLastSave="{00000000-0000-0000-0000-000000000000}"/>
  <bookViews>
    <workbookView xWindow="-108" yWindow="-108" windowWidth="30936" windowHeight="17496" firstSheet="8" activeTab="8" xr2:uid="{00000000-000D-0000-FFFF-FFFF00000000}"/>
  </bookViews>
  <sheets>
    <sheet name="Performance" sheetId="2" state="hidden" r:id="rId1"/>
    <sheet name="Ledger" sheetId="4" state="hidden" r:id="rId2"/>
    <sheet name="Daily" sheetId="5" state="hidden" r:id="rId3"/>
    <sheet name="History" sheetId="7" state="hidden" r:id="rId4"/>
    <sheet name="Quotes" sheetId="8" state="hidden" r:id="rId5"/>
    <sheet name="FastQuotes" sheetId="12" state="hidden" r:id="rId6"/>
    <sheet name="Checks" sheetId="9" state="hidden" r:id="rId7"/>
    <sheet name="Guide" sheetId="10" state="hidden" r:id="rId8"/>
    <sheet name="Watchlist" sheetId="13" r:id="rId9"/>
    <sheet name="Stock view" sheetId="16" r:id="rId10"/>
    <sheet name="Trade plan" sheetId="15" r:id="rId11"/>
    <sheet name="Headlines" sheetId="17" r:id="rId12"/>
    <sheet name="Holdings" sheetId="3" r:id="rId13"/>
    <sheet name="Transactions" sheetId="6" r:id="rId14"/>
    <sheet name="Portfolio" sheetId="1" r:id="rId15"/>
    <sheet name="Help" sheetId="14" r:id="rId16"/>
    <sheet name="News fixture" sheetId="18" state="hidden" r:id="rId17"/>
    <sheet name="NewsData" sheetId="19" state="hidden" r:id="rId18"/>
  </sheets>
  <definedNames>
    <definedName name="AvailableDates">History!$A$7:$A$136</definedName>
    <definedName name="ExternalData_1" localSheetId="5" hidden="1">FastQuotes!$A$6:$G$8</definedName>
    <definedName name="ExternalData_1" localSheetId="1" hidden="1">Ledger!$A$6:$I$42</definedName>
    <definedName name="ExternalData_1" localSheetId="17" hidden="1">NewsData!$A$1:$N$15</definedName>
    <definedName name="ExternalData_1" localSheetId="4" hidden="1">Quotes!$A$6:$D$12</definedName>
    <definedName name="FollowSelection">Watchlist!$N$2</definedName>
    <definedName name="NewsIndustryChoices">Headlines!$J$20:$J$29</definedName>
    <definedName name="NewsMode">Headlines!$C$7</definedName>
    <definedName name="NewsPublisherChoices">Headlines!$J$32:$J$38</definedName>
    <definedName name="PlanStockNames">PlanInputs[Stock / ETF]</definedName>
    <definedName name="_xlnm.Print_Area" localSheetId="6">Checks!$A$1:$F$15</definedName>
    <definedName name="_xlnm.Print_Area" localSheetId="2">Daily!$A$1:$U$20</definedName>
    <definedName name="_xlnm.Print_Area" localSheetId="5">FastQuotes!$A$1:$G$16</definedName>
    <definedName name="_xlnm.Print_Area" localSheetId="7">Guide!$A$1:$N$42</definedName>
    <definedName name="_xlnm.Print_Area" localSheetId="11">Headlines!$B$1:$G$73</definedName>
    <definedName name="_xlnm.Print_Area" localSheetId="15">Help!$B$1:$C$33</definedName>
    <definedName name="_xlnm.Print_Area" localSheetId="3">History!$A$1:$N$23</definedName>
    <definedName name="_xlnm.Print_Area" localSheetId="12">Holdings!$B$1:$M$27</definedName>
    <definedName name="_xlnm.Print_Area" localSheetId="1">Ledger!$A$1:$S$20</definedName>
    <definedName name="_xlnm.Print_Area" localSheetId="0">Performance!$A$1:$P$32</definedName>
    <definedName name="_xlnm.Print_Area" localSheetId="14">Portfolio!$A$1:$P$46</definedName>
    <definedName name="_xlnm.Print_Area" localSheetId="4">Quotes!$A$1:$G$17</definedName>
    <definedName name="_xlnm.Print_Area" localSheetId="9">'Stock view'!$B$1:$L$41</definedName>
    <definedName name="_xlnm.Print_Area" localSheetId="10">'Trade plan'!$B$1:$I$50</definedName>
    <definedName name="_xlnm.Print_Area" localSheetId="13">Transactions!$A$1:$K$23</definedName>
    <definedName name="_xlnm.Print_Area" localSheetId="8">Watchlist!$B$1:$I$21</definedName>
    <definedName name="_xlnm.Print_Titles" localSheetId="15">Help!$1:$7</definedName>
    <definedName name="_xlnm.Print_Titles" localSheetId="10">'Trade plan'!$1:$3</definedName>
    <definedName name="StockChartAverage">INDEX('Stock view'!$O$45:$O$1044,'Stock view'!$A$11):INDEX('Stock view'!$O$45:$O$1044,MAX(1,MIN('Stock view'!$A$10,'Stock view'!$A$2)))</definedName>
    <definedName name="StockChartCloses">INDEX('Stock view'!$N$45:$N$1044,'Stock view'!$A$11):INDEX('Stock view'!$N$45:$N$1044,MAX(1,MIN('Stock view'!$A$10,'Stock view'!$A$2)))</definedName>
    <definedName name="StockChartDates">INDEX('Stock view'!$B$45:$B$1044,'Stock view'!$A$11):INDEX('Stock view'!$B$45:$B$1044,MAX(1,MIN('Stock view'!$A$10,'Stock view'!$A$2)))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4" l="1"/>
  <c r="J8" i="4"/>
  <c r="J9" i="4"/>
  <c r="J10" i="4"/>
  <c r="J11" i="4"/>
  <c r="J12" i="4"/>
  <c r="J13" i="4"/>
  <c r="J14" i="4"/>
  <c r="J15" i="4"/>
  <c r="J16" i="4"/>
  <c r="M30" i="4" s="1"/>
  <c r="Q30" i="4" s="1"/>
  <c r="J17" i="4"/>
  <c r="M32" i="4" s="1"/>
  <c r="J18" i="4"/>
  <c r="M28" i="4" s="1"/>
  <c r="J19" i="4"/>
  <c r="M26" i="4" s="1"/>
  <c r="Q26" i="4" s="1"/>
  <c r="S26" i="4" s="1"/>
  <c r="J20" i="4"/>
  <c r="Q20" i="4" s="1"/>
  <c r="J21" i="4"/>
  <c r="M35" i="4" s="1"/>
  <c r="Q35" i="4" s="1"/>
  <c r="J22" i="4"/>
  <c r="M41" i="4" s="1"/>
  <c r="J23" i="4"/>
  <c r="J24" i="4"/>
  <c r="J25" i="4"/>
  <c r="J26" i="4"/>
  <c r="J27" i="4"/>
  <c r="J28" i="4"/>
  <c r="J29" i="4"/>
  <c r="J30" i="4"/>
  <c r="J31" i="4"/>
  <c r="M33" i="4" s="1"/>
  <c r="J32" i="4"/>
  <c r="J33" i="4"/>
  <c r="J34" i="4"/>
  <c r="J35" i="4"/>
  <c r="J36" i="4"/>
  <c r="Q36" i="4" s="1"/>
  <c r="J37" i="4"/>
  <c r="J38" i="4"/>
  <c r="J39" i="4"/>
  <c r="J40" i="4"/>
  <c r="J41" i="4"/>
  <c r="J42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K72" i="5" s="1"/>
  <c r="R72" i="5" s="1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M7" i="4"/>
  <c r="Q7" i="4" s="1"/>
  <c r="S7" i="4" s="1"/>
  <c r="M8" i="4"/>
  <c r="Q8" i="4" s="1"/>
  <c r="S8" i="4" s="1"/>
  <c r="M9" i="4"/>
  <c r="Q9" i="4" s="1"/>
  <c r="S9" i="4" s="1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Q23" i="4" s="1"/>
  <c r="M24" i="4"/>
  <c r="Q24" i="4" s="1"/>
  <c r="M25" i="4"/>
  <c r="Q25" i="4" s="1"/>
  <c r="S25" i="4" s="1"/>
  <c r="M27" i="4"/>
  <c r="M29" i="4"/>
  <c r="M31" i="4"/>
  <c r="M36" i="4"/>
  <c r="M39" i="4"/>
  <c r="M42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O7" i="4"/>
  <c r="N21" i="4" s="1"/>
  <c r="O8" i="4"/>
  <c r="R8" i="4" s="1"/>
  <c r="O9" i="4"/>
  <c r="N29" i="4" s="1"/>
  <c r="O10" i="4"/>
  <c r="R10" i="4" s="1"/>
  <c r="O11" i="4"/>
  <c r="N27" i="4" s="1"/>
  <c r="O12" i="4"/>
  <c r="N25" i="4" s="1"/>
  <c r="O13" i="4"/>
  <c r="O14" i="4"/>
  <c r="N23" i="4" s="1"/>
  <c r="O15" i="4"/>
  <c r="N24" i="4" s="1"/>
  <c r="O16" i="4"/>
  <c r="N40" i="4" s="1"/>
  <c r="O17" i="4"/>
  <c r="N32" i="4" s="1"/>
  <c r="O18" i="4"/>
  <c r="N28" i="4" s="1"/>
  <c r="O19" i="4"/>
  <c r="N26" i="4" s="1"/>
  <c r="O20" i="4"/>
  <c r="O21" i="4"/>
  <c r="N37" i="4" s="1"/>
  <c r="R37" i="4" s="1"/>
  <c r="O22" i="4"/>
  <c r="O23" i="4"/>
  <c r="O24" i="4"/>
  <c r="O25" i="4"/>
  <c r="I11" i="3" s="1"/>
  <c r="O26" i="4"/>
  <c r="O29" i="4"/>
  <c r="O30" i="4"/>
  <c r="O31" i="4"/>
  <c r="O32" i="4"/>
  <c r="O33" i="4"/>
  <c r="O34" i="4"/>
  <c r="O35" i="4"/>
  <c r="O36" i="4"/>
  <c r="O37" i="4"/>
  <c r="O38" i="4"/>
  <c r="O39" i="4"/>
  <c r="O40" i="4"/>
  <c r="P7" i="4"/>
  <c r="P8" i="4"/>
  <c r="P9" i="4"/>
  <c r="P10" i="4"/>
  <c r="P11" i="4"/>
  <c r="P12" i="4"/>
  <c r="P13" i="4"/>
  <c r="K12" i="3" s="1"/>
  <c r="H38" i="1" s="1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9" i="4"/>
  <c r="P30" i="4"/>
  <c r="P31" i="4"/>
  <c r="P32" i="4"/>
  <c r="P33" i="4"/>
  <c r="P34" i="4"/>
  <c r="P35" i="4"/>
  <c r="P36" i="4"/>
  <c r="P37" i="4"/>
  <c r="P38" i="4"/>
  <c r="P39" i="4"/>
  <c r="P40" i="4"/>
  <c r="Q10" i="4"/>
  <c r="S10" i="4" s="1"/>
  <c r="Q11" i="4"/>
  <c r="S11" i="4" s="1"/>
  <c r="Q12" i="4"/>
  <c r="Q13" i="4"/>
  <c r="Q14" i="4"/>
  <c r="S14" i="4" s="1"/>
  <c r="Q15" i="4"/>
  <c r="S15" i="4" s="1"/>
  <c r="Q18" i="4"/>
  <c r="Q27" i="4"/>
  <c r="Q29" i="4"/>
  <c r="Q31" i="4"/>
  <c r="Q39" i="4"/>
  <c r="Q42" i="4"/>
  <c r="R7" i="4"/>
  <c r="R19" i="4"/>
  <c r="S31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U24" i="4" s="1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G40" i="17"/>
  <c r="F40" i="17"/>
  <c r="G39" i="17"/>
  <c r="F39" i="17"/>
  <c r="G38" i="17"/>
  <c r="F38" i="17"/>
  <c r="G37" i="17"/>
  <c r="F37" i="17"/>
  <c r="G36" i="17"/>
  <c r="F36" i="17"/>
  <c r="G35" i="17"/>
  <c r="F35" i="17"/>
  <c r="O2" i="19"/>
  <c r="O3" i="19"/>
  <c r="O4" i="19"/>
  <c r="O5" i="19"/>
  <c r="O6" i="19"/>
  <c r="O7" i="19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37" i="19"/>
  <c r="O38" i="19"/>
  <c r="O39" i="19"/>
  <c r="O40" i="19"/>
  <c r="O41" i="19"/>
  <c r="O42" i="19"/>
  <c r="O43" i="19"/>
  <c r="O44" i="19"/>
  <c r="O45" i="19"/>
  <c r="O46" i="19"/>
  <c r="O47" i="19"/>
  <c r="O48" i="19"/>
  <c r="O49" i="19"/>
  <c r="O50" i="19"/>
  <c r="O51" i="19"/>
  <c r="O52" i="19"/>
  <c r="O53" i="19"/>
  <c r="O54" i="19"/>
  <c r="O55" i="19"/>
  <c r="O56" i="19"/>
  <c r="O57" i="19"/>
  <c r="O58" i="19"/>
  <c r="O59" i="19"/>
  <c r="O60" i="19"/>
  <c r="O61" i="19"/>
  <c r="O62" i="19"/>
  <c r="O63" i="19"/>
  <c r="O64" i="19"/>
  <c r="O65" i="19"/>
  <c r="O66" i="19"/>
  <c r="O67" i="19"/>
  <c r="O68" i="19"/>
  <c r="O69" i="19"/>
  <c r="O70" i="19"/>
  <c r="O71" i="19"/>
  <c r="O72" i="19"/>
  <c r="O73" i="19"/>
  <c r="O74" i="19"/>
  <c r="O75" i="19"/>
  <c r="O76" i="19"/>
  <c r="O77" i="19"/>
  <c r="O78" i="19"/>
  <c r="O79" i="19"/>
  <c r="O80" i="19"/>
  <c r="O81" i="19"/>
  <c r="O82" i="19"/>
  <c r="O83" i="19"/>
  <c r="O84" i="19"/>
  <c r="O85" i="19"/>
  <c r="O86" i="19"/>
  <c r="O87" i="19"/>
  <c r="O88" i="19"/>
  <c r="O89" i="19"/>
  <c r="O90" i="19"/>
  <c r="O91" i="19"/>
  <c r="O92" i="19"/>
  <c r="O93" i="19"/>
  <c r="O94" i="19"/>
  <c r="O95" i="19"/>
  <c r="O96" i="19"/>
  <c r="O97" i="19"/>
  <c r="O98" i="19"/>
  <c r="O99" i="19"/>
  <c r="O100" i="19"/>
  <c r="O101" i="19"/>
  <c r="O102" i="19"/>
  <c r="O103" i="19"/>
  <c r="O104" i="19"/>
  <c r="O105" i="19"/>
  <c r="O106" i="19"/>
  <c r="O107" i="19"/>
  <c r="O108" i="19"/>
  <c r="O109" i="19"/>
  <c r="O110" i="19"/>
  <c r="O111" i="19"/>
  <c r="O112" i="19"/>
  <c r="O113" i="19"/>
  <c r="O114" i="19"/>
  <c r="O115" i="19"/>
  <c r="O116" i="19"/>
  <c r="O117" i="19"/>
  <c r="O118" i="19"/>
  <c r="O119" i="19"/>
  <c r="O120" i="19"/>
  <c r="O121" i="19"/>
  <c r="O122" i="19"/>
  <c r="O123" i="19"/>
  <c r="O124" i="19"/>
  <c r="O125" i="19"/>
  <c r="O126" i="19"/>
  <c r="O127" i="19"/>
  <c r="O128" i="19"/>
  <c r="O129" i="19"/>
  <c r="O130" i="19"/>
  <c r="O131" i="19"/>
  <c r="O132" i="19"/>
  <c r="O133" i="19"/>
  <c r="O134" i="19"/>
  <c r="O135" i="19"/>
  <c r="O136" i="19"/>
  <c r="O137" i="19"/>
  <c r="O138" i="19"/>
  <c r="O139" i="19"/>
  <c r="O140" i="19"/>
  <c r="O141" i="19"/>
  <c r="O142" i="19"/>
  <c r="O143" i="19"/>
  <c r="O144" i="19"/>
  <c r="O145" i="19"/>
  <c r="O146" i="19"/>
  <c r="O147" i="19"/>
  <c r="O148" i="19"/>
  <c r="O149" i="19"/>
  <c r="O150" i="19"/>
  <c r="O151" i="19"/>
  <c r="O152" i="19"/>
  <c r="O153" i="19"/>
  <c r="O154" i="19"/>
  <c r="O155" i="19"/>
  <c r="O156" i="19"/>
  <c r="O157" i="19"/>
  <c r="O158" i="19"/>
  <c r="O159" i="19"/>
  <c r="O160" i="19"/>
  <c r="O161" i="19"/>
  <c r="O162" i="19"/>
  <c r="O163" i="19"/>
  <c r="O164" i="19"/>
  <c r="O165" i="19"/>
  <c r="O166" i="19"/>
  <c r="O167" i="19"/>
  <c r="O168" i="19"/>
  <c r="O169" i="19"/>
  <c r="O170" i="19"/>
  <c r="O171" i="19"/>
  <c r="O172" i="19"/>
  <c r="O173" i="19"/>
  <c r="O174" i="19"/>
  <c r="O175" i="19"/>
  <c r="O176" i="19"/>
  <c r="O177" i="19"/>
  <c r="O178" i="19"/>
  <c r="O179" i="19"/>
  <c r="O180" i="19"/>
  <c r="O181" i="19"/>
  <c r="O182" i="19"/>
  <c r="O183" i="19"/>
  <c r="O184" i="19"/>
  <c r="O185" i="19"/>
  <c r="O186" i="19"/>
  <c r="O187" i="19"/>
  <c r="O188" i="19"/>
  <c r="O189" i="19"/>
  <c r="O190" i="19"/>
  <c r="O191" i="19"/>
  <c r="O192" i="19"/>
  <c r="O193" i="19"/>
  <c r="O194" i="19"/>
  <c r="O195" i="19"/>
  <c r="O196" i="19"/>
  <c r="O197" i="19"/>
  <c r="O198" i="19"/>
  <c r="O199" i="19"/>
  <c r="O200" i="19"/>
  <c r="O201" i="19"/>
  <c r="O202" i="19"/>
  <c r="O203" i="19"/>
  <c r="O204" i="19"/>
  <c r="O205" i="19"/>
  <c r="O206" i="19"/>
  <c r="O207" i="19"/>
  <c r="O208" i="19"/>
  <c r="O209" i="19"/>
  <c r="O210" i="19"/>
  <c r="O211" i="19"/>
  <c r="O212" i="19"/>
  <c r="O213" i="19"/>
  <c r="O214" i="19"/>
  <c r="O215" i="19"/>
  <c r="O216" i="19"/>
  <c r="O217" i="19"/>
  <c r="O218" i="19"/>
  <c r="O219" i="19"/>
  <c r="O220" i="19"/>
  <c r="O221" i="19"/>
  <c r="O222" i="19"/>
  <c r="O223" i="19"/>
  <c r="O224" i="19"/>
  <c r="O225" i="19"/>
  <c r="O226" i="19"/>
  <c r="O227" i="19"/>
  <c r="O228" i="19"/>
  <c r="O229" i="19"/>
  <c r="O230" i="19"/>
  <c r="O231" i="19"/>
  <c r="O232" i="19"/>
  <c r="O233" i="19"/>
  <c r="O234" i="19"/>
  <c r="O235" i="19"/>
  <c r="O236" i="19"/>
  <c r="O237" i="19"/>
  <c r="O238" i="19"/>
  <c r="O239" i="19"/>
  <c r="O240" i="19"/>
  <c r="O241" i="19"/>
  <c r="O242" i="19"/>
  <c r="O243" i="19"/>
  <c r="O244" i="19"/>
  <c r="O245" i="19"/>
  <c r="O246" i="19"/>
  <c r="O247" i="19"/>
  <c r="O248" i="19"/>
  <c r="O249" i="19"/>
  <c r="O250" i="19"/>
  <c r="O251" i="19"/>
  <c r="O252" i="19"/>
  <c r="O253" i="19"/>
  <c r="O254" i="19"/>
  <c r="O255" i="19"/>
  <c r="O256" i="19"/>
  <c r="O257" i="19"/>
  <c r="O258" i="19"/>
  <c r="O259" i="19"/>
  <c r="O260" i="19"/>
  <c r="O261" i="19"/>
  <c r="O262" i="19"/>
  <c r="O263" i="19"/>
  <c r="O264" i="19"/>
  <c r="O265" i="19"/>
  <c r="O266" i="19"/>
  <c r="O267" i="19"/>
  <c r="O268" i="19"/>
  <c r="O269" i="19"/>
  <c r="O270" i="19"/>
  <c r="O271" i="19"/>
  <c r="O272" i="19"/>
  <c r="O273" i="19"/>
  <c r="O274" i="19"/>
  <c r="O275" i="19"/>
  <c r="O276" i="19"/>
  <c r="O277" i="19"/>
  <c r="O278" i="19"/>
  <c r="O279" i="19"/>
  <c r="O280" i="19"/>
  <c r="O281" i="19"/>
  <c r="O282" i="19"/>
  <c r="O283" i="19"/>
  <c r="O284" i="19"/>
  <c r="O285" i="19"/>
  <c r="O286" i="19"/>
  <c r="O287" i="19"/>
  <c r="O288" i="19"/>
  <c r="O289" i="19"/>
  <c r="O290" i="19"/>
  <c r="O291" i="19"/>
  <c r="O292" i="19"/>
  <c r="O293" i="19"/>
  <c r="O294" i="19"/>
  <c r="O295" i="19"/>
  <c r="O296" i="19"/>
  <c r="O297" i="19"/>
  <c r="O298" i="19"/>
  <c r="O299" i="19"/>
  <c r="O300" i="19"/>
  <c r="O301" i="19"/>
  <c r="O302" i="19"/>
  <c r="O303" i="19"/>
  <c r="O304" i="19"/>
  <c r="O305" i="19"/>
  <c r="O306" i="19"/>
  <c r="O307" i="19"/>
  <c r="O308" i="19"/>
  <c r="O309" i="19"/>
  <c r="O310" i="19"/>
  <c r="O311" i="19"/>
  <c r="O312" i="19"/>
  <c r="O313" i="19"/>
  <c r="O314" i="19"/>
  <c r="O315" i="19"/>
  <c r="O316" i="19"/>
  <c r="O317" i="19"/>
  <c r="O318" i="19"/>
  <c r="O319" i="19"/>
  <c r="O320" i="19"/>
  <c r="O321" i="19"/>
  <c r="O322" i="19"/>
  <c r="O323" i="19"/>
  <c r="O324" i="19"/>
  <c r="O325" i="19"/>
  <c r="O326" i="19"/>
  <c r="O327" i="19"/>
  <c r="O328" i="19"/>
  <c r="O329" i="19"/>
  <c r="O330" i="19"/>
  <c r="O331" i="19"/>
  <c r="O332" i="19"/>
  <c r="O333" i="19"/>
  <c r="O334" i="19"/>
  <c r="O335" i="19"/>
  <c r="O336" i="19"/>
  <c r="O337" i="19"/>
  <c r="O338" i="19"/>
  <c r="O339" i="19"/>
  <c r="O340" i="19"/>
  <c r="O341" i="19"/>
  <c r="O342" i="19"/>
  <c r="O343" i="19"/>
  <c r="O344" i="19"/>
  <c r="O345" i="19"/>
  <c r="O346" i="19"/>
  <c r="O347" i="19"/>
  <c r="O348" i="19"/>
  <c r="O349" i="19"/>
  <c r="O350" i="19"/>
  <c r="O351" i="19"/>
  <c r="O352" i="19"/>
  <c r="O353" i="19"/>
  <c r="O354" i="19"/>
  <c r="O355" i="19"/>
  <c r="O356" i="19"/>
  <c r="O357" i="19"/>
  <c r="O358" i="19"/>
  <c r="O359" i="19"/>
  <c r="O360" i="19"/>
  <c r="O361" i="19"/>
  <c r="O362" i="19"/>
  <c r="O363" i="19"/>
  <c r="O364" i="19"/>
  <c r="O365" i="19"/>
  <c r="O366" i="19"/>
  <c r="O367" i="19"/>
  <c r="O368" i="19"/>
  <c r="O369" i="19"/>
  <c r="O370" i="19"/>
  <c r="O371" i="19"/>
  <c r="O372" i="19"/>
  <c r="O373" i="19"/>
  <c r="O374" i="19"/>
  <c r="O375" i="19"/>
  <c r="O376" i="19"/>
  <c r="O377" i="19"/>
  <c r="O378" i="19"/>
  <c r="O379" i="19"/>
  <c r="O380" i="19"/>
  <c r="O381" i="19"/>
  <c r="O382" i="19"/>
  <c r="O383" i="19"/>
  <c r="O384" i="19"/>
  <c r="O385" i="19"/>
  <c r="O386" i="19"/>
  <c r="O387" i="19"/>
  <c r="O388" i="19"/>
  <c r="O389" i="19"/>
  <c r="O390" i="19"/>
  <c r="O391" i="19"/>
  <c r="O392" i="19"/>
  <c r="O393" i="19"/>
  <c r="O394" i="19"/>
  <c r="O395" i="19"/>
  <c r="O396" i="19"/>
  <c r="O397" i="19"/>
  <c r="O398" i="19"/>
  <c r="O399" i="19"/>
  <c r="O400" i="19"/>
  <c r="O401" i="19"/>
  <c r="O402" i="19"/>
  <c r="O403" i="19"/>
  <c r="O404" i="19"/>
  <c r="O405" i="19"/>
  <c r="O406" i="19"/>
  <c r="O407" i="19"/>
  <c r="O408" i="19"/>
  <c r="O409" i="19"/>
  <c r="O410" i="19"/>
  <c r="O411" i="19"/>
  <c r="O412" i="19"/>
  <c r="O413" i="19"/>
  <c r="O414" i="19"/>
  <c r="O415" i="19"/>
  <c r="O416" i="19"/>
  <c r="O417" i="19"/>
  <c r="O418" i="19"/>
  <c r="O419" i="19"/>
  <c r="O420" i="19"/>
  <c r="O421" i="19"/>
  <c r="O422" i="19"/>
  <c r="O423" i="19"/>
  <c r="O424" i="19"/>
  <c r="O425" i="19"/>
  <c r="O426" i="19"/>
  <c r="O427" i="19"/>
  <c r="O428" i="19"/>
  <c r="O429" i="19"/>
  <c r="O430" i="19"/>
  <c r="O431" i="19"/>
  <c r="O432" i="19"/>
  <c r="O433" i="19"/>
  <c r="O434" i="19"/>
  <c r="O435" i="19"/>
  <c r="O436" i="19"/>
  <c r="O437" i="19"/>
  <c r="O438" i="19"/>
  <c r="O439" i="19"/>
  <c r="O440" i="19"/>
  <c r="O441" i="19"/>
  <c r="O442" i="19"/>
  <c r="O443" i="19"/>
  <c r="O444" i="19"/>
  <c r="O445" i="19"/>
  <c r="O446" i="19"/>
  <c r="O447" i="19"/>
  <c r="O448" i="19"/>
  <c r="O449" i="19"/>
  <c r="O450" i="19"/>
  <c r="O451" i="19"/>
  <c r="O452" i="19"/>
  <c r="O453" i="19"/>
  <c r="O454" i="19"/>
  <c r="O455" i="19"/>
  <c r="O456" i="19"/>
  <c r="O457" i="19"/>
  <c r="O458" i="19"/>
  <c r="O459" i="19"/>
  <c r="O460" i="19"/>
  <c r="O461" i="19"/>
  <c r="O462" i="19"/>
  <c r="O463" i="19"/>
  <c r="O464" i="19"/>
  <c r="O465" i="19"/>
  <c r="O466" i="19"/>
  <c r="O467" i="19"/>
  <c r="O468" i="19"/>
  <c r="O469" i="19"/>
  <c r="O470" i="19"/>
  <c r="O471" i="19"/>
  <c r="O472" i="19"/>
  <c r="O473" i="19"/>
  <c r="O474" i="19"/>
  <c r="O475" i="19"/>
  <c r="O476" i="19"/>
  <c r="O477" i="19"/>
  <c r="O478" i="19"/>
  <c r="O479" i="19"/>
  <c r="O480" i="19"/>
  <c r="O481" i="19"/>
  <c r="O482" i="19"/>
  <c r="O483" i="19"/>
  <c r="O484" i="19"/>
  <c r="O485" i="19"/>
  <c r="O486" i="19"/>
  <c r="O487" i="19"/>
  <c r="O488" i="19"/>
  <c r="O489" i="19"/>
  <c r="O490" i="19"/>
  <c r="O491" i="19"/>
  <c r="O492" i="19"/>
  <c r="O493" i="19"/>
  <c r="O494" i="19"/>
  <c r="O495" i="19"/>
  <c r="O496" i="19"/>
  <c r="O497" i="19"/>
  <c r="O498" i="19"/>
  <c r="O499" i="19"/>
  <c r="O500" i="19"/>
  <c r="O501" i="19"/>
  <c r="O502" i="19"/>
  <c r="O503" i="19"/>
  <c r="O504" i="19"/>
  <c r="O505" i="19"/>
  <c r="O506" i="19"/>
  <c r="O507" i="19"/>
  <c r="O508" i="19"/>
  <c r="O509" i="19"/>
  <c r="O510" i="19"/>
  <c r="O511" i="19"/>
  <c r="O512" i="19"/>
  <c r="O513" i="19"/>
  <c r="O514" i="19"/>
  <c r="O515" i="19"/>
  <c r="O516" i="19"/>
  <c r="O517" i="19"/>
  <c r="O518" i="19"/>
  <c r="O519" i="19"/>
  <c r="O520" i="19"/>
  <c r="O521" i="19"/>
  <c r="O522" i="19"/>
  <c r="O523" i="19"/>
  <c r="O524" i="19"/>
  <c r="O525" i="19"/>
  <c r="O526" i="19"/>
  <c r="O527" i="19"/>
  <c r="O528" i="19"/>
  <c r="O529" i="19"/>
  <c r="O530" i="19"/>
  <c r="O531" i="19"/>
  <c r="O532" i="19"/>
  <c r="O533" i="19"/>
  <c r="O534" i="19"/>
  <c r="O535" i="19"/>
  <c r="O536" i="19"/>
  <c r="O537" i="19"/>
  <c r="O538" i="19"/>
  <c r="O539" i="19"/>
  <c r="O540" i="19"/>
  <c r="O541" i="19"/>
  <c r="O542" i="19"/>
  <c r="O543" i="19"/>
  <c r="O544" i="19"/>
  <c r="O545" i="19"/>
  <c r="O546" i="19"/>
  <c r="O547" i="19"/>
  <c r="O548" i="19"/>
  <c r="O549" i="19"/>
  <c r="O550" i="19"/>
  <c r="O551" i="19"/>
  <c r="O552" i="19"/>
  <c r="O553" i="19"/>
  <c r="O554" i="19"/>
  <c r="O555" i="19"/>
  <c r="O556" i="19"/>
  <c r="O557" i="19"/>
  <c r="O558" i="19"/>
  <c r="O559" i="19"/>
  <c r="O560" i="19"/>
  <c r="O561" i="19"/>
  <c r="O562" i="19"/>
  <c r="O563" i="19"/>
  <c r="O564" i="19"/>
  <c r="O565" i="19"/>
  <c r="O566" i="19"/>
  <c r="O567" i="19"/>
  <c r="O568" i="19"/>
  <c r="O569" i="19"/>
  <c r="O570" i="19"/>
  <c r="O571" i="19"/>
  <c r="O572" i="19"/>
  <c r="O573" i="19"/>
  <c r="O574" i="19"/>
  <c r="O575" i="19"/>
  <c r="O576" i="19"/>
  <c r="O577" i="19"/>
  <c r="O578" i="19"/>
  <c r="O579" i="19"/>
  <c r="O580" i="19"/>
  <c r="O581" i="19"/>
  <c r="O582" i="19"/>
  <c r="O583" i="19"/>
  <c r="O584" i="19"/>
  <c r="O585" i="19"/>
  <c r="O586" i="19"/>
  <c r="O587" i="19"/>
  <c r="O588" i="19"/>
  <c r="O589" i="19"/>
  <c r="O590" i="19"/>
  <c r="O591" i="19"/>
  <c r="O592" i="19"/>
  <c r="O593" i="19"/>
  <c r="O594" i="19"/>
  <c r="O595" i="19"/>
  <c r="O596" i="19"/>
  <c r="O597" i="19"/>
  <c r="O598" i="19"/>
  <c r="O599" i="19"/>
  <c r="O600" i="19"/>
  <c r="O601" i="19"/>
  <c r="O602" i="19"/>
  <c r="O603" i="19"/>
  <c r="O604" i="19"/>
  <c r="O605" i="19"/>
  <c r="O606" i="19"/>
  <c r="O607" i="19"/>
  <c r="O608" i="19"/>
  <c r="O609" i="19"/>
  <c r="O610" i="19"/>
  <c r="O611" i="19"/>
  <c r="O612" i="19"/>
  <c r="O613" i="19"/>
  <c r="O614" i="19"/>
  <c r="O615" i="19"/>
  <c r="O616" i="19"/>
  <c r="O617" i="19"/>
  <c r="O618" i="19"/>
  <c r="O619" i="19"/>
  <c r="O620" i="19"/>
  <c r="O621" i="19"/>
  <c r="O622" i="19"/>
  <c r="O623" i="19"/>
  <c r="O624" i="19"/>
  <c r="O625" i="19"/>
  <c r="O626" i="19"/>
  <c r="O627" i="19"/>
  <c r="O628" i="19"/>
  <c r="O629" i="19"/>
  <c r="O630" i="19"/>
  <c r="O631" i="19"/>
  <c r="O632" i="19"/>
  <c r="O633" i="19"/>
  <c r="O634" i="19"/>
  <c r="O635" i="19"/>
  <c r="O636" i="19"/>
  <c r="O637" i="19"/>
  <c r="O638" i="19"/>
  <c r="O639" i="19"/>
  <c r="O640" i="19"/>
  <c r="O641" i="19"/>
  <c r="O642" i="19"/>
  <c r="O643" i="19"/>
  <c r="O644" i="19"/>
  <c r="O645" i="19"/>
  <c r="O646" i="19"/>
  <c r="O647" i="19"/>
  <c r="O648" i="19"/>
  <c r="O649" i="19"/>
  <c r="O650" i="19"/>
  <c r="O651" i="19"/>
  <c r="O652" i="19"/>
  <c r="O653" i="19"/>
  <c r="O654" i="19"/>
  <c r="O655" i="19"/>
  <c r="O656" i="19"/>
  <c r="O657" i="19"/>
  <c r="O658" i="19"/>
  <c r="O659" i="19"/>
  <c r="O660" i="19"/>
  <c r="O661" i="19"/>
  <c r="O662" i="19"/>
  <c r="O663" i="19"/>
  <c r="O664" i="19"/>
  <c r="O665" i="19"/>
  <c r="O666" i="19"/>
  <c r="O667" i="19"/>
  <c r="O668" i="19"/>
  <c r="O669" i="19"/>
  <c r="O670" i="19"/>
  <c r="O671" i="19"/>
  <c r="O672" i="19"/>
  <c r="O673" i="19"/>
  <c r="O674" i="19"/>
  <c r="O675" i="19"/>
  <c r="O676" i="19"/>
  <c r="O677" i="19"/>
  <c r="O678" i="19"/>
  <c r="O679" i="19"/>
  <c r="O680" i="19"/>
  <c r="O681" i="19"/>
  <c r="O682" i="19"/>
  <c r="O683" i="19"/>
  <c r="O684" i="19"/>
  <c r="O685" i="19"/>
  <c r="O686" i="19"/>
  <c r="O687" i="19"/>
  <c r="O688" i="19"/>
  <c r="O689" i="19"/>
  <c r="O690" i="19"/>
  <c r="O691" i="19"/>
  <c r="O692" i="19"/>
  <c r="O693" i="19"/>
  <c r="O694" i="19"/>
  <c r="O695" i="19"/>
  <c r="O696" i="19"/>
  <c r="O697" i="19"/>
  <c r="O698" i="19"/>
  <c r="O699" i="19"/>
  <c r="O700" i="19"/>
  <c r="O701" i="19"/>
  <c r="O702" i="19"/>
  <c r="O703" i="19"/>
  <c r="O704" i="19"/>
  <c r="O705" i="19"/>
  <c r="O706" i="19"/>
  <c r="O707" i="19"/>
  <c r="O708" i="19"/>
  <c r="O709" i="19"/>
  <c r="O710" i="19"/>
  <c r="O711" i="19"/>
  <c r="O712" i="19"/>
  <c r="O713" i="19"/>
  <c r="O714" i="19"/>
  <c r="O715" i="19"/>
  <c r="O716" i="19"/>
  <c r="O717" i="19"/>
  <c r="O718" i="19"/>
  <c r="O719" i="19"/>
  <c r="O720" i="19"/>
  <c r="O721" i="19"/>
  <c r="O722" i="19"/>
  <c r="O723" i="19"/>
  <c r="O724" i="19"/>
  <c r="O725" i="19"/>
  <c r="O726" i="19"/>
  <c r="O727" i="19"/>
  <c r="O728" i="19"/>
  <c r="O729" i="19"/>
  <c r="O730" i="19"/>
  <c r="O731" i="19"/>
  <c r="O732" i="19"/>
  <c r="O733" i="19"/>
  <c r="O734" i="19"/>
  <c r="O735" i="19"/>
  <c r="O736" i="19"/>
  <c r="O737" i="19"/>
  <c r="O738" i="19"/>
  <c r="O739" i="19"/>
  <c r="O740" i="19"/>
  <c r="O741" i="19"/>
  <c r="O742" i="19"/>
  <c r="O743" i="19"/>
  <c r="O744" i="19"/>
  <c r="O745" i="19"/>
  <c r="O746" i="19"/>
  <c r="O747" i="19"/>
  <c r="O748" i="19"/>
  <c r="O749" i="19"/>
  <c r="O750" i="19"/>
  <c r="O751" i="19"/>
  <c r="O752" i="19"/>
  <c r="O753" i="19"/>
  <c r="O754" i="19"/>
  <c r="O755" i="19"/>
  <c r="O756" i="19"/>
  <c r="O757" i="19"/>
  <c r="O758" i="19"/>
  <c r="O759" i="19"/>
  <c r="O760" i="19"/>
  <c r="O761" i="19"/>
  <c r="O762" i="19"/>
  <c r="O763" i="19"/>
  <c r="O764" i="19"/>
  <c r="O765" i="19"/>
  <c r="O766" i="19"/>
  <c r="O767" i="19"/>
  <c r="O768" i="19"/>
  <c r="O769" i="19"/>
  <c r="O770" i="19"/>
  <c r="O771" i="19"/>
  <c r="O772" i="19"/>
  <c r="O773" i="19"/>
  <c r="O774" i="19"/>
  <c r="O775" i="19"/>
  <c r="O776" i="19"/>
  <c r="O777" i="19"/>
  <c r="O778" i="19"/>
  <c r="O779" i="19"/>
  <c r="O780" i="19"/>
  <c r="O781" i="19"/>
  <c r="O782" i="19"/>
  <c r="O783" i="19"/>
  <c r="O784" i="19"/>
  <c r="O785" i="19"/>
  <c r="O786" i="19"/>
  <c r="O787" i="19"/>
  <c r="O788" i="19"/>
  <c r="O789" i="19"/>
  <c r="O790" i="19"/>
  <c r="O791" i="19"/>
  <c r="O792" i="19"/>
  <c r="O793" i="19"/>
  <c r="O794" i="19"/>
  <c r="O795" i="19"/>
  <c r="O796" i="19"/>
  <c r="O797" i="19"/>
  <c r="O798" i="19"/>
  <c r="O799" i="19"/>
  <c r="O800" i="19"/>
  <c r="O801" i="19"/>
  <c r="O802" i="19"/>
  <c r="O803" i="19"/>
  <c r="O804" i="19"/>
  <c r="O805" i="19"/>
  <c r="O806" i="19"/>
  <c r="O807" i="19"/>
  <c r="O808" i="19"/>
  <c r="O809" i="19"/>
  <c r="O810" i="19"/>
  <c r="O811" i="19"/>
  <c r="O812" i="19"/>
  <c r="O813" i="19"/>
  <c r="O814" i="19"/>
  <c r="O815" i="19"/>
  <c r="O816" i="19"/>
  <c r="O817" i="19"/>
  <c r="O818" i="19"/>
  <c r="O819" i="19"/>
  <c r="O820" i="19"/>
  <c r="O821" i="19"/>
  <c r="O822" i="19"/>
  <c r="O823" i="19"/>
  <c r="O824" i="19"/>
  <c r="O825" i="19"/>
  <c r="O826" i="19"/>
  <c r="O827" i="19"/>
  <c r="O828" i="19"/>
  <c r="O829" i="19"/>
  <c r="O830" i="19"/>
  <c r="O831" i="19"/>
  <c r="O832" i="19"/>
  <c r="O833" i="19"/>
  <c r="O834" i="19"/>
  <c r="O835" i="19"/>
  <c r="O836" i="19"/>
  <c r="O837" i="19"/>
  <c r="O838" i="19"/>
  <c r="O839" i="19"/>
  <c r="O840" i="19"/>
  <c r="O841" i="19"/>
  <c r="O842" i="19"/>
  <c r="O843" i="19"/>
  <c r="O844" i="19"/>
  <c r="O845" i="19"/>
  <c r="O846" i="19"/>
  <c r="O847" i="19"/>
  <c r="O848" i="19"/>
  <c r="O849" i="19"/>
  <c r="O850" i="19"/>
  <c r="O851" i="19"/>
  <c r="O852" i="19"/>
  <c r="O853" i="19"/>
  <c r="O854" i="19"/>
  <c r="O855" i="19"/>
  <c r="O856" i="19"/>
  <c r="O857" i="19"/>
  <c r="O858" i="19"/>
  <c r="O859" i="19"/>
  <c r="O860" i="19"/>
  <c r="O861" i="19"/>
  <c r="O862" i="19"/>
  <c r="O863" i="19"/>
  <c r="O864" i="19"/>
  <c r="O865" i="19"/>
  <c r="O866" i="19"/>
  <c r="O867" i="19"/>
  <c r="O868" i="19"/>
  <c r="O869" i="19"/>
  <c r="O870" i="19"/>
  <c r="O871" i="19"/>
  <c r="O872" i="19"/>
  <c r="O873" i="19"/>
  <c r="O874" i="19"/>
  <c r="O875" i="19"/>
  <c r="O876" i="19"/>
  <c r="O877" i="19"/>
  <c r="O878" i="19"/>
  <c r="O879" i="19"/>
  <c r="O880" i="19"/>
  <c r="O881" i="19"/>
  <c r="O882" i="19"/>
  <c r="O883" i="19"/>
  <c r="O884" i="19"/>
  <c r="O885" i="19"/>
  <c r="O886" i="19"/>
  <c r="O887" i="19"/>
  <c r="O888" i="19"/>
  <c r="O889" i="19"/>
  <c r="O890" i="19"/>
  <c r="O891" i="19"/>
  <c r="O892" i="19"/>
  <c r="O893" i="19"/>
  <c r="O894" i="19"/>
  <c r="O895" i="19"/>
  <c r="O896" i="19"/>
  <c r="O897" i="19"/>
  <c r="O898" i="19"/>
  <c r="O899" i="19"/>
  <c r="O900" i="19"/>
  <c r="O901" i="19"/>
  <c r="O902" i="19"/>
  <c r="O903" i="19"/>
  <c r="O904" i="19"/>
  <c r="O905" i="19"/>
  <c r="O906" i="19"/>
  <c r="O907" i="19"/>
  <c r="O908" i="19"/>
  <c r="O909" i="19"/>
  <c r="O910" i="19"/>
  <c r="O911" i="19"/>
  <c r="O912" i="19"/>
  <c r="O913" i="19"/>
  <c r="O914" i="19"/>
  <c r="O915" i="19"/>
  <c r="O916" i="19"/>
  <c r="O917" i="19"/>
  <c r="O918" i="19"/>
  <c r="O919" i="19"/>
  <c r="O920" i="19"/>
  <c r="O921" i="19"/>
  <c r="O922" i="19"/>
  <c r="O923" i="19"/>
  <c r="O924" i="19"/>
  <c r="O925" i="19"/>
  <c r="O926" i="19"/>
  <c r="O927" i="19"/>
  <c r="O928" i="19"/>
  <c r="O929" i="19"/>
  <c r="O930" i="19"/>
  <c r="O931" i="19"/>
  <c r="O932" i="19"/>
  <c r="O933" i="19"/>
  <c r="O934" i="19"/>
  <c r="O935" i="19"/>
  <c r="O936" i="19"/>
  <c r="O937" i="19"/>
  <c r="O938" i="19"/>
  <c r="O939" i="19"/>
  <c r="O940" i="19"/>
  <c r="O941" i="19"/>
  <c r="O942" i="19"/>
  <c r="O943" i="19"/>
  <c r="O944" i="19"/>
  <c r="O945" i="19"/>
  <c r="O946" i="19"/>
  <c r="O947" i="19"/>
  <c r="O948" i="19"/>
  <c r="O949" i="19"/>
  <c r="O950" i="19"/>
  <c r="O951" i="19"/>
  <c r="O952" i="19"/>
  <c r="O953" i="19"/>
  <c r="O954" i="19"/>
  <c r="O955" i="19"/>
  <c r="O956" i="19"/>
  <c r="O957" i="19"/>
  <c r="O958" i="19"/>
  <c r="O959" i="19"/>
  <c r="O960" i="19"/>
  <c r="O961" i="19"/>
  <c r="O962" i="19"/>
  <c r="O963" i="19"/>
  <c r="O964" i="19"/>
  <c r="O965" i="19"/>
  <c r="O966" i="19"/>
  <c r="O967" i="19"/>
  <c r="O968" i="19"/>
  <c r="O969" i="19"/>
  <c r="O970" i="19"/>
  <c r="O971" i="19"/>
  <c r="O972" i="19"/>
  <c r="O973" i="19"/>
  <c r="O974" i="19"/>
  <c r="O975" i="19"/>
  <c r="O976" i="19"/>
  <c r="O977" i="19"/>
  <c r="O978" i="19"/>
  <c r="O979" i="19"/>
  <c r="O980" i="19"/>
  <c r="O981" i="19"/>
  <c r="O982" i="19"/>
  <c r="O983" i="19"/>
  <c r="O984" i="19"/>
  <c r="O985" i="19"/>
  <c r="O986" i="19"/>
  <c r="O987" i="19"/>
  <c r="O988" i="19"/>
  <c r="O989" i="19"/>
  <c r="O990" i="19"/>
  <c r="O991" i="19"/>
  <c r="O992" i="19"/>
  <c r="O993" i="19"/>
  <c r="O994" i="19"/>
  <c r="O995" i="19"/>
  <c r="O996" i="19"/>
  <c r="O997" i="19"/>
  <c r="O998" i="19"/>
  <c r="O999" i="19"/>
  <c r="O1000" i="19"/>
  <c r="O1001" i="19"/>
  <c r="O1002" i="19"/>
  <c r="O1003" i="19"/>
  <c r="O1004" i="19"/>
  <c r="O1005" i="19"/>
  <c r="O1006" i="19"/>
  <c r="O1007" i="19"/>
  <c r="O1008" i="19"/>
  <c r="O1009" i="19"/>
  <c r="O1010" i="19"/>
  <c r="O1011" i="19"/>
  <c r="O1012" i="19"/>
  <c r="O1013" i="19"/>
  <c r="O1014" i="19"/>
  <c r="O1015" i="19"/>
  <c r="O1016" i="19"/>
  <c r="O1017" i="19"/>
  <c r="O1018" i="19"/>
  <c r="O1019" i="19"/>
  <c r="O1020" i="19"/>
  <c r="O1021" i="19"/>
  <c r="O1022" i="19"/>
  <c r="O1023" i="19"/>
  <c r="O1024" i="19"/>
  <c r="O1025" i="19"/>
  <c r="O1026" i="19"/>
  <c r="O1027" i="19"/>
  <c r="O1028" i="19"/>
  <c r="O1029" i="19"/>
  <c r="O1030" i="19"/>
  <c r="O1031" i="19"/>
  <c r="O1032" i="19"/>
  <c r="O1033" i="19"/>
  <c r="O1034" i="19"/>
  <c r="O1035" i="19"/>
  <c r="O1036" i="19"/>
  <c r="O1037" i="19"/>
  <c r="O1038" i="19"/>
  <c r="O1039" i="19"/>
  <c r="O1040" i="19"/>
  <c r="O1041" i="19"/>
  <c r="O1042" i="19"/>
  <c r="O1043" i="19"/>
  <c r="O1044" i="19"/>
  <c r="O1045" i="19"/>
  <c r="O1046" i="19"/>
  <c r="O1047" i="19"/>
  <c r="O1048" i="19"/>
  <c r="O1049" i="19"/>
  <c r="O1050" i="19"/>
  <c r="O1051" i="19"/>
  <c r="O1052" i="19"/>
  <c r="O1053" i="19"/>
  <c r="O1054" i="19"/>
  <c r="O1055" i="19"/>
  <c r="O1056" i="19"/>
  <c r="O1057" i="19"/>
  <c r="O1058" i="19"/>
  <c r="O1059" i="19"/>
  <c r="O1060" i="19"/>
  <c r="O1061" i="19"/>
  <c r="O1062" i="19"/>
  <c r="O1063" i="19"/>
  <c r="O1064" i="19"/>
  <c r="O1065" i="19"/>
  <c r="O1066" i="19"/>
  <c r="O1067" i="19"/>
  <c r="O1068" i="19"/>
  <c r="O1069" i="19"/>
  <c r="O1070" i="19"/>
  <c r="O1071" i="19"/>
  <c r="O1072" i="19"/>
  <c r="O1073" i="19"/>
  <c r="O1074" i="19"/>
  <c r="O1075" i="19"/>
  <c r="O1076" i="19"/>
  <c r="O1077" i="19"/>
  <c r="O1078" i="19"/>
  <c r="O1079" i="19"/>
  <c r="O1080" i="19"/>
  <c r="O1081" i="19"/>
  <c r="O1082" i="19"/>
  <c r="O1083" i="19"/>
  <c r="O1084" i="19"/>
  <c r="O1085" i="19"/>
  <c r="O1086" i="19"/>
  <c r="O1087" i="19"/>
  <c r="O1088" i="19"/>
  <c r="O1089" i="19"/>
  <c r="O1090" i="19"/>
  <c r="O1091" i="19"/>
  <c r="O1092" i="19"/>
  <c r="O1093" i="19"/>
  <c r="O1094" i="19"/>
  <c r="O1095" i="19"/>
  <c r="O1096" i="19"/>
  <c r="O1097" i="19"/>
  <c r="O1098" i="19"/>
  <c r="O1099" i="19"/>
  <c r="O1100" i="19"/>
  <c r="O1101" i="19"/>
  <c r="O1102" i="19"/>
  <c r="O1103" i="19"/>
  <c r="O1104" i="19"/>
  <c r="O1105" i="19"/>
  <c r="O1106" i="19"/>
  <c r="O1107" i="19"/>
  <c r="O1108" i="19"/>
  <c r="O1109" i="19"/>
  <c r="O1110" i="19"/>
  <c r="O1111" i="19"/>
  <c r="O1112" i="19"/>
  <c r="O1113" i="19"/>
  <c r="O1114" i="19"/>
  <c r="O1115" i="19"/>
  <c r="O1116" i="19"/>
  <c r="O1117" i="19"/>
  <c r="O1118" i="19"/>
  <c r="O1119" i="19"/>
  <c r="O1120" i="19"/>
  <c r="O1121" i="19"/>
  <c r="O1122" i="19"/>
  <c r="O1123" i="19"/>
  <c r="O1124" i="19"/>
  <c r="O1125" i="19"/>
  <c r="O1126" i="19"/>
  <c r="O1127" i="19"/>
  <c r="O1128" i="19"/>
  <c r="O1129" i="19"/>
  <c r="O1130" i="19"/>
  <c r="O1131" i="19"/>
  <c r="O1132" i="19"/>
  <c r="O1133" i="19"/>
  <c r="O1134" i="19"/>
  <c r="O1135" i="19"/>
  <c r="O1136" i="19"/>
  <c r="O1137" i="19"/>
  <c r="O1138" i="19"/>
  <c r="O1139" i="19"/>
  <c r="O1140" i="19"/>
  <c r="O1141" i="19"/>
  <c r="O1142" i="19"/>
  <c r="O1143" i="19"/>
  <c r="O1144" i="19"/>
  <c r="O1145" i="19"/>
  <c r="O1146" i="19"/>
  <c r="O1147" i="19"/>
  <c r="O1148" i="19"/>
  <c r="O1149" i="19"/>
  <c r="O1150" i="19"/>
  <c r="O1151" i="19"/>
  <c r="O1152" i="19"/>
  <c r="O1153" i="19"/>
  <c r="O1154" i="19"/>
  <c r="O1155" i="19"/>
  <c r="O1156" i="19"/>
  <c r="O1157" i="19"/>
  <c r="O1158" i="19"/>
  <c r="O1159" i="19"/>
  <c r="O1160" i="19"/>
  <c r="O1161" i="19"/>
  <c r="O1162" i="19"/>
  <c r="O1163" i="19"/>
  <c r="O1164" i="19"/>
  <c r="O1165" i="19"/>
  <c r="O1166" i="19"/>
  <c r="O1167" i="19"/>
  <c r="O1168" i="19"/>
  <c r="O1169" i="19"/>
  <c r="O1170" i="19"/>
  <c r="O1171" i="19"/>
  <c r="O1172" i="19"/>
  <c r="O1173" i="19"/>
  <c r="O1174" i="19"/>
  <c r="O1175" i="19"/>
  <c r="O1176" i="19"/>
  <c r="O1177" i="19"/>
  <c r="O1178" i="19"/>
  <c r="O1179" i="19"/>
  <c r="O1180" i="19"/>
  <c r="O1181" i="19"/>
  <c r="O1182" i="19"/>
  <c r="O1183" i="19"/>
  <c r="O1184" i="19"/>
  <c r="O1185" i="19"/>
  <c r="O1186" i="19"/>
  <c r="O1187" i="19"/>
  <c r="O1188" i="19"/>
  <c r="O1189" i="19"/>
  <c r="O1190" i="19"/>
  <c r="O1191" i="19"/>
  <c r="O1192" i="19"/>
  <c r="O1193" i="19"/>
  <c r="O1194" i="19"/>
  <c r="O1195" i="19"/>
  <c r="O1196" i="19"/>
  <c r="O1197" i="19"/>
  <c r="O1198" i="19"/>
  <c r="O1199" i="19"/>
  <c r="O1200" i="19"/>
  <c r="O1201" i="19"/>
  <c r="O1202" i="19"/>
  <c r="O1203" i="19"/>
  <c r="O1204" i="19"/>
  <c r="O1205" i="19"/>
  <c r="O1206" i="19"/>
  <c r="O1207" i="19"/>
  <c r="O1208" i="19"/>
  <c r="O1209" i="19"/>
  <c r="O1210" i="19"/>
  <c r="O1211" i="19"/>
  <c r="O1212" i="19"/>
  <c r="O1213" i="19"/>
  <c r="O1214" i="19"/>
  <c r="O1215" i="19"/>
  <c r="O1216" i="19"/>
  <c r="O1217" i="19"/>
  <c r="O1218" i="19"/>
  <c r="O1219" i="19"/>
  <c r="O1220" i="19"/>
  <c r="O1221" i="19"/>
  <c r="O1222" i="19"/>
  <c r="O1223" i="19"/>
  <c r="O1224" i="19"/>
  <c r="O1225" i="19"/>
  <c r="O1226" i="19"/>
  <c r="O1227" i="19"/>
  <c r="O1228" i="19"/>
  <c r="O1229" i="19"/>
  <c r="O1230" i="19"/>
  <c r="O1231" i="19"/>
  <c r="O1232" i="19"/>
  <c r="O1233" i="19"/>
  <c r="O1234" i="19"/>
  <c r="O1235" i="19"/>
  <c r="O1236" i="19"/>
  <c r="O1237" i="19"/>
  <c r="O1238" i="19"/>
  <c r="O1239" i="19"/>
  <c r="O1240" i="19"/>
  <c r="O1241" i="19"/>
  <c r="O1242" i="19"/>
  <c r="O1243" i="19"/>
  <c r="O1244" i="19"/>
  <c r="O1245" i="19"/>
  <c r="O1246" i="19"/>
  <c r="O1247" i="19"/>
  <c r="O1248" i="19"/>
  <c r="O1249" i="19"/>
  <c r="O1250" i="19"/>
  <c r="O1251" i="19"/>
  <c r="O1252" i="19"/>
  <c r="O1253" i="19"/>
  <c r="O1254" i="19"/>
  <c r="O1255" i="19"/>
  <c r="O1256" i="19"/>
  <c r="O1257" i="19"/>
  <c r="O1258" i="19"/>
  <c r="O1259" i="19"/>
  <c r="O1260" i="19"/>
  <c r="O1261" i="19"/>
  <c r="O1262" i="19"/>
  <c r="O1263" i="19"/>
  <c r="O1264" i="19"/>
  <c r="O1265" i="19"/>
  <c r="O1266" i="19"/>
  <c r="O1267" i="19"/>
  <c r="O1268" i="19"/>
  <c r="O1269" i="19"/>
  <c r="O1270" i="19"/>
  <c r="O1271" i="19"/>
  <c r="O1272" i="19"/>
  <c r="O1273" i="19"/>
  <c r="O1274" i="19"/>
  <c r="O1275" i="19"/>
  <c r="O1276" i="19"/>
  <c r="O1277" i="19"/>
  <c r="O1278" i="19"/>
  <c r="O1279" i="19"/>
  <c r="O1280" i="19"/>
  <c r="O1281" i="19"/>
  <c r="O1282" i="19"/>
  <c r="O1283" i="19"/>
  <c r="O1284" i="19"/>
  <c r="O1285" i="19"/>
  <c r="O1286" i="19"/>
  <c r="O1287" i="19"/>
  <c r="O1288" i="19"/>
  <c r="O1289" i="19"/>
  <c r="O1290" i="19"/>
  <c r="O1291" i="19"/>
  <c r="O1292" i="19"/>
  <c r="O1293" i="19"/>
  <c r="O1294" i="19"/>
  <c r="O1295" i="19"/>
  <c r="O1296" i="19"/>
  <c r="O1297" i="19"/>
  <c r="O1298" i="19"/>
  <c r="O1299" i="19"/>
  <c r="O1300" i="19"/>
  <c r="O1301" i="19"/>
  <c r="O1302" i="19"/>
  <c r="O1303" i="19"/>
  <c r="O1304" i="19"/>
  <c r="O1305" i="19"/>
  <c r="O1306" i="19"/>
  <c r="O1307" i="19"/>
  <c r="O1308" i="19"/>
  <c r="O1309" i="19"/>
  <c r="O1310" i="19"/>
  <c r="O1311" i="19"/>
  <c r="O1312" i="19"/>
  <c r="O1313" i="19"/>
  <c r="O1314" i="19"/>
  <c r="O1315" i="19"/>
  <c r="O1316" i="19"/>
  <c r="O1317" i="19"/>
  <c r="O1318" i="19"/>
  <c r="O1319" i="19"/>
  <c r="O1320" i="19"/>
  <c r="O1321" i="19"/>
  <c r="O1322" i="19"/>
  <c r="O1323" i="19"/>
  <c r="O1324" i="19"/>
  <c r="O1325" i="19"/>
  <c r="O1326" i="19"/>
  <c r="O1327" i="19"/>
  <c r="O1328" i="19"/>
  <c r="O1329" i="19"/>
  <c r="O1330" i="19"/>
  <c r="O1331" i="19"/>
  <c r="O1332" i="19"/>
  <c r="O1333" i="19"/>
  <c r="O1334" i="19"/>
  <c r="O1335" i="19"/>
  <c r="O1336" i="19"/>
  <c r="O1337" i="19"/>
  <c r="O1338" i="19"/>
  <c r="O1339" i="19"/>
  <c r="O1340" i="19"/>
  <c r="O1341" i="19"/>
  <c r="O1342" i="19"/>
  <c r="O1343" i="19"/>
  <c r="O1344" i="19"/>
  <c r="O1345" i="19"/>
  <c r="O1346" i="19"/>
  <c r="O1347" i="19"/>
  <c r="O1348" i="19"/>
  <c r="O1349" i="19"/>
  <c r="O1350" i="19"/>
  <c r="O1351" i="19"/>
  <c r="O1352" i="19"/>
  <c r="O1353" i="19"/>
  <c r="O1354" i="19"/>
  <c r="O1355" i="19"/>
  <c r="O1356" i="19"/>
  <c r="O1357" i="19"/>
  <c r="O1358" i="19"/>
  <c r="O1359" i="19"/>
  <c r="O1360" i="19"/>
  <c r="O1361" i="19"/>
  <c r="O1362" i="19"/>
  <c r="O1363" i="19"/>
  <c r="O1364" i="19"/>
  <c r="O1365" i="19"/>
  <c r="O1366" i="19"/>
  <c r="O1367" i="19"/>
  <c r="O1368" i="19"/>
  <c r="O1369" i="19"/>
  <c r="O1370" i="19"/>
  <c r="O1371" i="19"/>
  <c r="O1372" i="19"/>
  <c r="O1373" i="19"/>
  <c r="O1374" i="19"/>
  <c r="O1375" i="19"/>
  <c r="O1376" i="19"/>
  <c r="O1377" i="19"/>
  <c r="O1378" i="19"/>
  <c r="O1379" i="19"/>
  <c r="O1380" i="19"/>
  <c r="O1381" i="19"/>
  <c r="O1382" i="19"/>
  <c r="O1383" i="19"/>
  <c r="O1384" i="19"/>
  <c r="O1385" i="19"/>
  <c r="O1386" i="19"/>
  <c r="O1387" i="19"/>
  <c r="O1388" i="19"/>
  <c r="O1389" i="19"/>
  <c r="O1390" i="19"/>
  <c r="O1391" i="19"/>
  <c r="O1392" i="19"/>
  <c r="O1393" i="19"/>
  <c r="O1394" i="19"/>
  <c r="O1395" i="19"/>
  <c r="O1396" i="19"/>
  <c r="O1397" i="19"/>
  <c r="O1398" i="19"/>
  <c r="O1399" i="19"/>
  <c r="O1400" i="19"/>
  <c r="O1401" i="19"/>
  <c r="O1402" i="19"/>
  <c r="O1403" i="19"/>
  <c r="O1404" i="19"/>
  <c r="O1405" i="19"/>
  <c r="O1406" i="19"/>
  <c r="O1407" i="19"/>
  <c r="O1408" i="19"/>
  <c r="O1409" i="19"/>
  <c r="O1410" i="19"/>
  <c r="O1411" i="19"/>
  <c r="O1412" i="19"/>
  <c r="O1413" i="19"/>
  <c r="O1414" i="19"/>
  <c r="O1415" i="19"/>
  <c r="O1416" i="19"/>
  <c r="O1417" i="19"/>
  <c r="O1418" i="19"/>
  <c r="O1419" i="19"/>
  <c r="O1420" i="19"/>
  <c r="O1421" i="19"/>
  <c r="O1422" i="19"/>
  <c r="O1423" i="19"/>
  <c r="O1424" i="19"/>
  <c r="O1425" i="19"/>
  <c r="O1426" i="19"/>
  <c r="O1427" i="19"/>
  <c r="O1428" i="19"/>
  <c r="O1429" i="19"/>
  <c r="O1430" i="19"/>
  <c r="O1431" i="19"/>
  <c r="O1432" i="19"/>
  <c r="O1433" i="19"/>
  <c r="O1434" i="19"/>
  <c r="O1435" i="19"/>
  <c r="O1436" i="19"/>
  <c r="O1437" i="19"/>
  <c r="O1438" i="19"/>
  <c r="O1439" i="19"/>
  <c r="O1440" i="19"/>
  <c r="O1441" i="19"/>
  <c r="O1442" i="19"/>
  <c r="O1443" i="19"/>
  <c r="O1444" i="19"/>
  <c r="O1445" i="19"/>
  <c r="O1446" i="19"/>
  <c r="O1447" i="19"/>
  <c r="O1448" i="19"/>
  <c r="O1449" i="19"/>
  <c r="O1450" i="19"/>
  <c r="O1451" i="19"/>
  <c r="O1452" i="19"/>
  <c r="O1453" i="19"/>
  <c r="O1454" i="19"/>
  <c r="O1455" i="19"/>
  <c r="O1456" i="19"/>
  <c r="O1457" i="19"/>
  <c r="O1458" i="19"/>
  <c r="O1459" i="19"/>
  <c r="O1460" i="19"/>
  <c r="O1461" i="19"/>
  <c r="O1462" i="19"/>
  <c r="O1463" i="19"/>
  <c r="O1464" i="19"/>
  <c r="O1465" i="19"/>
  <c r="O1466" i="19"/>
  <c r="O1467" i="19"/>
  <c r="O1468" i="19"/>
  <c r="O1469" i="19"/>
  <c r="O1470" i="19"/>
  <c r="O1471" i="19"/>
  <c r="O1472" i="19"/>
  <c r="O1473" i="19"/>
  <c r="O1474" i="19"/>
  <c r="O1475" i="19"/>
  <c r="O1476" i="19"/>
  <c r="O1477" i="19"/>
  <c r="O1478" i="19"/>
  <c r="O1479" i="19"/>
  <c r="O1480" i="19"/>
  <c r="O1481" i="19"/>
  <c r="O1482" i="19"/>
  <c r="O1483" i="19"/>
  <c r="O1484" i="19"/>
  <c r="O1485" i="19"/>
  <c r="O1486" i="19"/>
  <c r="O1487" i="19"/>
  <c r="O1488" i="19"/>
  <c r="O1489" i="19"/>
  <c r="O1490" i="19"/>
  <c r="O1491" i="19"/>
  <c r="O1492" i="19"/>
  <c r="O1493" i="19"/>
  <c r="O1494" i="19"/>
  <c r="O1495" i="19"/>
  <c r="O1496" i="19"/>
  <c r="O1497" i="19"/>
  <c r="O1498" i="19"/>
  <c r="O1499" i="19"/>
  <c r="O1500" i="19"/>
  <c r="O1501" i="19"/>
  <c r="O1502" i="19"/>
  <c r="O1503" i="19"/>
  <c r="O1504" i="19"/>
  <c r="O1505" i="19"/>
  <c r="O1506" i="19"/>
  <c r="O1507" i="19"/>
  <c r="O1508" i="19"/>
  <c r="O1509" i="19"/>
  <c r="O1510" i="19"/>
  <c r="O1511" i="19"/>
  <c r="O1512" i="19"/>
  <c r="O1513" i="19"/>
  <c r="O1514" i="19"/>
  <c r="O1515" i="19"/>
  <c r="O1516" i="19"/>
  <c r="O1517" i="19"/>
  <c r="O1518" i="19"/>
  <c r="O1519" i="19"/>
  <c r="O1520" i="19"/>
  <c r="O1521" i="19"/>
  <c r="O1522" i="19"/>
  <c r="O1523" i="19"/>
  <c r="O1524" i="19"/>
  <c r="O1525" i="19"/>
  <c r="O1526" i="19"/>
  <c r="O1527" i="19"/>
  <c r="O1528" i="19"/>
  <c r="O1529" i="19"/>
  <c r="O1530" i="19"/>
  <c r="O1531" i="19"/>
  <c r="O1532" i="19"/>
  <c r="O1533" i="19"/>
  <c r="O1534" i="19"/>
  <c r="O1535" i="19"/>
  <c r="O1536" i="19"/>
  <c r="O1537" i="19"/>
  <c r="O1538" i="19"/>
  <c r="O1539" i="19"/>
  <c r="O1540" i="19"/>
  <c r="O1541" i="19"/>
  <c r="O1542" i="19"/>
  <c r="O1543" i="19"/>
  <c r="O1544" i="19"/>
  <c r="O1545" i="19"/>
  <c r="O1546" i="19"/>
  <c r="O1547" i="19"/>
  <c r="O1548" i="19"/>
  <c r="O1549" i="19"/>
  <c r="O1550" i="19"/>
  <c r="O1551" i="19"/>
  <c r="O1552" i="19"/>
  <c r="O1553" i="19"/>
  <c r="O1554" i="19"/>
  <c r="O1555" i="19"/>
  <c r="O1556" i="19"/>
  <c r="O1557" i="19"/>
  <c r="O1558" i="19"/>
  <c r="O1559" i="19"/>
  <c r="O1560" i="19"/>
  <c r="O1561" i="19"/>
  <c r="O1562" i="19"/>
  <c r="O1563" i="19"/>
  <c r="O1564" i="19"/>
  <c r="O1565" i="19"/>
  <c r="O1566" i="19"/>
  <c r="O1567" i="19"/>
  <c r="O1568" i="19"/>
  <c r="O1569" i="19"/>
  <c r="O1570" i="19"/>
  <c r="O1571" i="19"/>
  <c r="O1572" i="19"/>
  <c r="O1573" i="19"/>
  <c r="O1574" i="19"/>
  <c r="O1575" i="19"/>
  <c r="O1576" i="19"/>
  <c r="O1577" i="19"/>
  <c r="O1578" i="19"/>
  <c r="O1579" i="19"/>
  <c r="O1580" i="19"/>
  <c r="O1581" i="19"/>
  <c r="O1582" i="19"/>
  <c r="O1583" i="19"/>
  <c r="O1584" i="19"/>
  <c r="O1585" i="19"/>
  <c r="O1586" i="19"/>
  <c r="O1587" i="19"/>
  <c r="O1588" i="19"/>
  <c r="O1589" i="19"/>
  <c r="O1590" i="19"/>
  <c r="O1591" i="19"/>
  <c r="O1592" i="19"/>
  <c r="O1593" i="19"/>
  <c r="O1594" i="19"/>
  <c r="O1595" i="19"/>
  <c r="O1596" i="19"/>
  <c r="O1597" i="19"/>
  <c r="O1598" i="19"/>
  <c r="O1599" i="19"/>
  <c r="O1600" i="19"/>
  <c r="O1601" i="19"/>
  <c r="O1602" i="19"/>
  <c r="O1603" i="19"/>
  <c r="O1604" i="19"/>
  <c r="O1605" i="19"/>
  <c r="O1606" i="19"/>
  <c r="O1607" i="19"/>
  <c r="O1608" i="19"/>
  <c r="O1609" i="19"/>
  <c r="O1610" i="19"/>
  <c r="O1611" i="19"/>
  <c r="O1612" i="19"/>
  <c r="O1613" i="19"/>
  <c r="O1614" i="19"/>
  <c r="O1615" i="19"/>
  <c r="O1616" i="19"/>
  <c r="O1617" i="19"/>
  <c r="O1618" i="19"/>
  <c r="O1619" i="19"/>
  <c r="O1620" i="19"/>
  <c r="O1621" i="19"/>
  <c r="O1622" i="19"/>
  <c r="O1623" i="19"/>
  <c r="O1624" i="19"/>
  <c r="O1625" i="19"/>
  <c r="O1626" i="19"/>
  <c r="O1627" i="19"/>
  <c r="O1628" i="19"/>
  <c r="O1629" i="19"/>
  <c r="O1630" i="19"/>
  <c r="O1631" i="19"/>
  <c r="O1632" i="19"/>
  <c r="O1633" i="19"/>
  <c r="O1634" i="19"/>
  <c r="O1635" i="19"/>
  <c r="O1636" i="19"/>
  <c r="O1637" i="19"/>
  <c r="O1638" i="19"/>
  <c r="O1639" i="19"/>
  <c r="O1640" i="19"/>
  <c r="O1641" i="19"/>
  <c r="O1642" i="19"/>
  <c r="O1643" i="19"/>
  <c r="O1644" i="19"/>
  <c r="O1645" i="19"/>
  <c r="O1646" i="19"/>
  <c r="O1647" i="19"/>
  <c r="O1648" i="19"/>
  <c r="O1649" i="19"/>
  <c r="O1650" i="19"/>
  <c r="O1651" i="19"/>
  <c r="O1652" i="19"/>
  <c r="O1653" i="19"/>
  <c r="O1654" i="19"/>
  <c r="O1655" i="19"/>
  <c r="O1656" i="19"/>
  <c r="O1657" i="19"/>
  <c r="O1658" i="19"/>
  <c r="O1659" i="19"/>
  <c r="O1660" i="19"/>
  <c r="O1661" i="19"/>
  <c r="O1662" i="19"/>
  <c r="O1663" i="19"/>
  <c r="O1664" i="19"/>
  <c r="O1665" i="19"/>
  <c r="O1666" i="19"/>
  <c r="O1667" i="19"/>
  <c r="O1668" i="19"/>
  <c r="O1669" i="19"/>
  <c r="O1670" i="19"/>
  <c r="O1671" i="19"/>
  <c r="O1672" i="19"/>
  <c r="O1673" i="19"/>
  <c r="O1674" i="19"/>
  <c r="O1675" i="19"/>
  <c r="O1676" i="19"/>
  <c r="O1677" i="19"/>
  <c r="O1678" i="19"/>
  <c r="O1679" i="19"/>
  <c r="O1680" i="19"/>
  <c r="O1681" i="19"/>
  <c r="O1682" i="19"/>
  <c r="O1683" i="19"/>
  <c r="O1684" i="19"/>
  <c r="O1685" i="19"/>
  <c r="O1686" i="19"/>
  <c r="O1687" i="19"/>
  <c r="O1688" i="19"/>
  <c r="O1689" i="19"/>
  <c r="O1690" i="19"/>
  <c r="O1691" i="19"/>
  <c r="O1692" i="19"/>
  <c r="O1693" i="19"/>
  <c r="O1694" i="19"/>
  <c r="O1695" i="19"/>
  <c r="O1696" i="19"/>
  <c r="O1697" i="19"/>
  <c r="O1698" i="19"/>
  <c r="O1699" i="19"/>
  <c r="O1700" i="19"/>
  <c r="O1701" i="19"/>
  <c r="O1702" i="19"/>
  <c r="O1703" i="19"/>
  <c r="O1704" i="19"/>
  <c r="O1705" i="19"/>
  <c r="O1706" i="19"/>
  <c r="O1707" i="19"/>
  <c r="O1708" i="19"/>
  <c r="O1709" i="19"/>
  <c r="O1710" i="19"/>
  <c r="O1711" i="19"/>
  <c r="O1712" i="19"/>
  <c r="O1713" i="19"/>
  <c r="O1714" i="19"/>
  <c r="O1715" i="19"/>
  <c r="O1716" i="19"/>
  <c r="O1717" i="19"/>
  <c r="O1718" i="19"/>
  <c r="O1719" i="19"/>
  <c r="O1720" i="19"/>
  <c r="O1721" i="19"/>
  <c r="O1722" i="19"/>
  <c r="O1723" i="19"/>
  <c r="O1724" i="19"/>
  <c r="O1725" i="19"/>
  <c r="O1726" i="19"/>
  <c r="O1727" i="19"/>
  <c r="O1728" i="19"/>
  <c r="O1729" i="19"/>
  <c r="O1730" i="19"/>
  <c r="O1731" i="19"/>
  <c r="O1732" i="19"/>
  <c r="O1733" i="19"/>
  <c r="O1734" i="19"/>
  <c r="O1735" i="19"/>
  <c r="O1736" i="19"/>
  <c r="O1737" i="19"/>
  <c r="O1738" i="19"/>
  <c r="O1739" i="19"/>
  <c r="O1740" i="19"/>
  <c r="O1741" i="19"/>
  <c r="O1742" i="19"/>
  <c r="O1743" i="19"/>
  <c r="O1744" i="19"/>
  <c r="O1745" i="19"/>
  <c r="O1746" i="19"/>
  <c r="O1747" i="19"/>
  <c r="O1748" i="19"/>
  <c r="O1749" i="19"/>
  <c r="O1750" i="19"/>
  <c r="O1751" i="19"/>
  <c r="O1752" i="19"/>
  <c r="O1753" i="19"/>
  <c r="O1754" i="19"/>
  <c r="O1755" i="19"/>
  <c r="O1756" i="19"/>
  <c r="O1757" i="19"/>
  <c r="O1758" i="19"/>
  <c r="O1759" i="19"/>
  <c r="O1760" i="19"/>
  <c r="O1761" i="19"/>
  <c r="O1762" i="19"/>
  <c r="O1763" i="19"/>
  <c r="O1764" i="19"/>
  <c r="O1765" i="19"/>
  <c r="O1766" i="19"/>
  <c r="O1767" i="19"/>
  <c r="O1768" i="19"/>
  <c r="O1769" i="19"/>
  <c r="O1770" i="19"/>
  <c r="O1771" i="19"/>
  <c r="O1772" i="19"/>
  <c r="O1773" i="19"/>
  <c r="O1774" i="19"/>
  <c r="O1775" i="19"/>
  <c r="O1776" i="19"/>
  <c r="O1777" i="19"/>
  <c r="O1778" i="19"/>
  <c r="O1779" i="19"/>
  <c r="O1780" i="19"/>
  <c r="O1781" i="19"/>
  <c r="O1782" i="19"/>
  <c r="O1783" i="19"/>
  <c r="O1784" i="19"/>
  <c r="O1785" i="19"/>
  <c r="O1786" i="19"/>
  <c r="O1787" i="19"/>
  <c r="O1788" i="19"/>
  <c r="O1789" i="19"/>
  <c r="O1790" i="19"/>
  <c r="O1791" i="19"/>
  <c r="O1792" i="19"/>
  <c r="O1793" i="19"/>
  <c r="O1794" i="19"/>
  <c r="O1795" i="19"/>
  <c r="O1796" i="19"/>
  <c r="O1797" i="19"/>
  <c r="O1798" i="19"/>
  <c r="O1799" i="19"/>
  <c r="O1800" i="19"/>
  <c r="O1801" i="19"/>
  <c r="O1802" i="19"/>
  <c r="O1803" i="19"/>
  <c r="O1804" i="19"/>
  <c r="O1805" i="19"/>
  <c r="O1806" i="19"/>
  <c r="O1807" i="19"/>
  <c r="O1808" i="19"/>
  <c r="O1809" i="19"/>
  <c r="O1810" i="19"/>
  <c r="O1811" i="19"/>
  <c r="O1812" i="19"/>
  <c r="O1813" i="19"/>
  <c r="O1814" i="19"/>
  <c r="O1815" i="19"/>
  <c r="O1816" i="19"/>
  <c r="O1817" i="19"/>
  <c r="O1818" i="19"/>
  <c r="O1819" i="19"/>
  <c r="O1820" i="19"/>
  <c r="O1821" i="19"/>
  <c r="O1822" i="19"/>
  <c r="O1823" i="19"/>
  <c r="O1824" i="19"/>
  <c r="O1825" i="19"/>
  <c r="O1826" i="19"/>
  <c r="O1827" i="19"/>
  <c r="O1828" i="19"/>
  <c r="O1829" i="19"/>
  <c r="O1830" i="19"/>
  <c r="O1831" i="19"/>
  <c r="O1832" i="19"/>
  <c r="O1833" i="19"/>
  <c r="O1834" i="19"/>
  <c r="O1835" i="19"/>
  <c r="O1836" i="19"/>
  <c r="O1837" i="19"/>
  <c r="O1838" i="19"/>
  <c r="O1839" i="19"/>
  <c r="O1840" i="19"/>
  <c r="O1841" i="19"/>
  <c r="O1842" i="19"/>
  <c r="O1843" i="19"/>
  <c r="O1844" i="19"/>
  <c r="O1845" i="19"/>
  <c r="O1846" i="19"/>
  <c r="O1847" i="19"/>
  <c r="O1848" i="19"/>
  <c r="O1849" i="19"/>
  <c r="O1850" i="19"/>
  <c r="O1851" i="19"/>
  <c r="O1852" i="19"/>
  <c r="O1853" i="19"/>
  <c r="O1854" i="19"/>
  <c r="O1855" i="19"/>
  <c r="O1856" i="19"/>
  <c r="O1857" i="19"/>
  <c r="O1858" i="19"/>
  <c r="O1859" i="19"/>
  <c r="O1860" i="19"/>
  <c r="O1861" i="19"/>
  <c r="O1862" i="19"/>
  <c r="O1863" i="19"/>
  <c r="O1864" i="19"/>
  <c r="O1865" i="19"/>
  <c r="O1866" i="19"/>
  <c r="O1867" i="19"/>
  <c r="O1868" i="19"/>
  <c r="O1869" i="19"/>
  <c r="O1870" i="19"/>
  <c r="O1871" i="19"/>
  <c r="O1872" i="19"/>
  <c r="O1873" i="19"/>
  <c r="O1874" i="19"/>
  <c r="O1875" i="19"/>
  <c r="O1876" i="19"/>
  <c r="O1877" i="19"/>
  <c r="O1878" i="19"/>
  <c r="O1879" i="19"/>
  <c r="O1880" i="19"/>
  <c r="O1881" i="19"/>
  <c r="O1882" i="19"/>
  <c r="O1883" i="19"/>
  <c r="O1884" i="19"/>
  <c r="O1885" i="19"/>
  <c r="O1886" i="19"/>
  <c r="O1887" i="19"/>
  <c r="O1888" i="19"/>
  <c r="O1889" i="19"/>
  <c r="O1890" i="19"/>
  <c r="O1891" i="19"/>
  <c r="O1892" i="19"/>
  <c r="O1893" i="19"/>
  <c r="O1894" i="19"/>
  <c r="O1895" i="19"/>
  <c r="O1896" i="19"/>
  <c r="O1897" i="19"/>
  <c r="O1898" i="19"/>
  <c r="O1899" i="19"/>
  <c r="O1900" i="19"/>
  <c r="O1901" i="19"/>
  <c r="O1902" i="19"/>
  <c r="O1903" i="19"/>
  <c r="O1904" i="19"/>
  <c r="O1905" i="19"/>
  <c r="O1906" i="19"/>
  <c r="O1907" i="19"/>
  <c r="O1908" i="19"/>
  <c r="O1909" i="19"/>
  <c r="O1910" i="19"/>
  <c r="O1911" i="19"/>
  <c r="O1912" i="19"/>
  <c r="O1913" i="19"/>
  <c r="O1914" i="19"/>
  <c r="O1915" i="19"/>
  <c r="O1916" i="19"/>
  <c r="O1917" i="19"/>
  <c r="O1918" i="19"/>
  <c r="O1919" i="19"/>
  <c r="O1920" i="19"/>
  <c r="O1921" i="19"/>
  <c r="O1922" i="19"/>
  <c r="O1923" i="19"/>
  <c r="O1924" i="19"/>
  <c r="O1925" i="19"/>
  <c r="O1926" i="19"/>
  <c r="O1927" i="19"/>
  <c r="O1928" i="19"/>
  <c r="O1929" i="19"/>
  <c r="O1930" i="19"/>
  <c r="O1931" i="19"/>
  <c r="O1932" i="19"/>
  <c r="O1933" i="19"/>
  <c r="O1934" i="19"/>
  <c r="O1935" i="19"/>
  <c r="O1936" i="19"/>
  <c r="O1937" i="19"/>
  <c r="O1938" i="19"/>
  <c r="O1939" i="19"/>
  <c r="O1940" i="19"/>
  <c r="O1941" i="19"/>
  <c r="O1942" i="19"/>
  <c r="O1943" i="19"/>
  <c r="O1944" i="19"/>
  <c r="O1945" i="19"/>
  <c r="O1946" i="19"/>
  <c r="O1947" i="19"/>
  <c r="O1948" i="19"/>
  <c r="O1949" i="19"/>
  <c r="O1950" i="19"/>
  <c r="O1951" i="19"/>
  <c r="O1952" i="19"/>
  <c r="O1953" i="19"/>
  <c r="O1954" i="19"/>
  <c r="O1955" i="19"/>
  <c r="O1956" i="19"/>
  <c r="O1957" i="19"/>
  <c r="O1958" i="19"/>
  <c r="O1959" i="19"/>
  <c r="O1960" i="19"/>
  <c r="O1961" i="19"/>
  <c r="O1962" i="19"/>
  <c r="O1963" i="19"/>
  <c r="O1964" i="19"/>
  <c r="O1965" i="19"/>
  <c r="O1966" i="19"/>
  <c r="O1967" i="19"/>
  <c r="O1968" i="19"/>
  <c r="O1969" i="19"/>
  <c r="O1970" i="19"/>
  <c r="O1971" i="19"/>
  <c r="O1972" i="19"/>
  <c r="O1973" i="19"/>
  <c r="O1974" i="19"/>
  <c r="O1975" i="19"/>
  <c r="O1976" i="19"/>
  <c r="O1977" i="19"/>
  <c r="O1978" i="19"/>
  <c r="O1979" i="19"/>
  <c r="O1980" i="19"/>
  <c r="O1981" i="19"/>
  <c r="O1982" i="19"/>
  <c r="O1983" i="19"/>
  <c r="O1984" i="19"/>
  <c r="O1985" i="19"/>
  <c r="O1986" i="19"/>
  <c r="O1987" i="19"/>
  <c r="O1988" i="19"/>
  <c r="O1989" i="19"/>
  <c r="O1990" i="19"/>
  <c r="O1991" i="19"/>
  <c r="O1992" i="19"/>
  <c r="O1993" i="19"/>
  <c r="O1994" i="19"/>
  <c r="O1995" i="19"/>
  <c r="O1996" i="19"/>
  <c r="O1997" i="19"/>
  <c r="O1998" i="19"/>
  <c r="O1999" i="19"/>
  <c r="O2000" i="19"/>
  <c r="O2001" i="19"/>
  <c r="J12" i="17"/>
  <c r="J8" i="17"/>
  <c r="J7" i="17"/>
  <c r="J6" i="17"/>
  <c r="J4" i="17"/>
  <c r="J3" i="17"/>
  <c r="J2" i="17"/>
  <c r="J38" i="17"/>
  <c r="J37" i="17"/>
  <c r="J36" i="17"/>
  <c r="J35" i="17"/>
  <c r="J34" i="17"/>
  <c r="J33" i="17"/>
  <c r="J11" i="17" s="1"/>
  <c r="K47" i="5"/>
  <c r="R47" i="5" s="1"/>
  <c r="K60" i="5"/>
  <c r="R60" i="5" s="1"/>
  <c r="K122" i="5"/>
  <c r="R122" i="5" s="1"/>
  <c r="B914" i="16"/>
  <c r="F939" i="16"/>
  <c r="G959" i="16"/>
  <c r="A10" i="16"/>
  <c r="B556" i="16" s="1"/>
  <c r="A5" i="16"/>
  <c r="A6" i="16" s="1"/>
  <c r="A5" i="15"/>
  <c r="A6" i="15" s="1"/>
  <c r="I36" i="15"/>
  <c r="H47" i="15" s="1"/>
  <c r="I35" i="15"/>
  <c r="F35" i="15" s="1"/>
  <c r="I34" i="15"/>
  <c r="G34" i="15" s="1"/>
  <c r="I33" i="15"/>
  <c r="H44" i="15" s="1"/>
  <c r="I32" i="15"/>
  <c r="C43" i="15" s="1"/>
  <c r="I31" i="15"/>
  <c r="F31" i="15" s="1"/>
  <c r="B4" i="3"/>
  <c r="B15" i="13"/>
  <c r="B13" i="13"/>
  <c r="B12" i="13"/>
  <c r="B11" i="13"/>
  <c r="B10" i="13"/>
  <c r="B9" i="13"/>
  <c r="B8" i="13"/>
  <c r="V11" i="13"/>
  <c r="R12" i="13"/>
  <c r="O8" i="13"/>
  <c r="P8" i="13"/>
  <c r="T13" i="13"/>
  <c r="N10" i="13"/>
  <c r="N9" i="13"/>
  <c r="O12" i="13"/>
  <c r="Q8" i="13"/>
  <c r="O11" i="13"/>
  <c r="O13" i="13"/>
  <c r="N13" i="13"/>
  <c r="P10" i="13"/>
  <c r="N12" i="13"/>
  <c r="S12" i="13"/>
  <c r="S9" i="13"/>
  <c r="R13" i="13"/>
  <c r="N8" i="13"/>
  <c r="W12" i="13"/>
  <c r="F12" i="13" s="1"/>
  <c r="R11" i="13"/>
  <c r="V9" i="13"/>
  <c r="Q9" i="13"/>
  <c r="W13" i="13"/>
  <c r="F13" i="13" s="1"/>
  <c r="S11" i="13"/>
  <c r="V10" i="13"/>
  <c r="S10" i="13"/>
  <c r="W9" i="13"/>
  <c r="F9" i="13" s="1"/>
  <c r="Q11" i="13"/>
  <c r="W8" i="13"/>
  <c r="Q13" i="13"/>
  <c r="R8" i="13"/>
  <c r="T12" i="13"/>
  <c r="V12" i="13"/>
  <c r="S8" i="13"/>
  <c r="Q10" i="13"/>
  <c r="V8" i="13"/>
  <c r="R10" i="13"/>
  <c r="T8" i="13"/>
  <c r="V13" i="13"/>
  <c r="Q12" i="13"/>
  <c r="O9" i="13"/>
  <c r="W11" i="13"/>
  <c r="F11" i="13" s="1"/>
  <c r="T9" i="13"/>
  <c r="R9" i="13"/>
  <c r="W10" i="13"/>
  <c r="F10" i="13" s="1"/>
  <c r="O10" i="13"/>
  <c r="P11" i="13"/>
  <c r="P12" i="13"/>
  <c r="N11" i="13"/>
  <c r="S13" i="13"/>
  <c r="P9" i="13"/>
  <c r="T11" i="13"/>
  <c r="P13" i="13"/>
  <c r="T10" i="13"/>
  <c r="N2" i="13"/>
  <c r="J7" i="6"/>
  <c r="J8" i="6"/>
  <c r="J9" i="6"/>
  <c r="U9" i="4" s="1"/>
  <c r="J10" i="6"/>
  <c r="J11" i="6"/>
  <c r="J12" i="6"/>
  <c r="J13" i="6"/>
  <c r="J14" i="6"/>
  <c r="U14" i="4" s="1"/>
  <c r="J15" i="6"/>
  <c r="U15" i="4" s="1"/>
  <c r="J16" i="6"/>
  <c r="U16" i="4" s="1"/>
  <c r="J17" i="6"/>
  <c r="U17" i="4" s="1"/>
  <c r="J18" i="6"/>
  <c r="U18" i="4" s="1"/>
  <c r="J19" i="6"/>
  <c r="U19" i="4" s="1"/>
  <c r="J20" i="6"/>
  <c r="U20" i="4" s="1"/>
  <c r="J21" i="6"/>
  <c r="U21" i="4" s="1"/>
  <c r="J22" i="6"/>
  <c r="J23" i="6"/>
  <c r="J24" i="6"/>
  <c r="J25" i="6"/>
  <c r="U25" i="4" s="1"/>
  <c r="J26" i="6"/>
  <c r="J27" i="6"/>
  <c r="J28" i="6"/>
  <c r="J29" i="6"/>
  <c r="J30" i="6"/>
  <c r="J31" i="6"/>
  <c r="U31" i="4" s="1"/>
  <c r="J32" i="6"/>
  <c r="U32" i="4" s="1"/>
  <c r="J33" i="6"/>
  <c r="U33" i="4" s="1"/>
  <c r="J34" i="6"/>
  <c r="J35" i="6"/>
  <c r="U35" i="4" s="1"/>
  <c r="J36" i="6"/>
  <c r="U36" i="4" s="1"/>
  <c r="J37" i="6"/>
  <c r="U37" i="4" s="1"/>
  <c r="J38" i="6"/>
  <c r="J39" i="6"/>
  <c r="J40" i="6"/>
  <c r="J41" i="6"/>
  <c r="J42" i="6"/>
  <c r="K32" i="5"/>
  <c r="R32" i="5" s="1"/>
  <c r="F47" i="5"/>
  <c r="K83" i="5"/>
  <c r="R83" i="5" s="1"/>
  <c r="K96" i="5"/>
  <c r="R96" i="5" s="1"/>
  <c r="K98" i="5"/>
  <c r="R98" i="5" s="1"/>
  <c r="K111" i="5"/>
  <c r="R111" i="5" s="1"/>
  <c r="T136" i="5"/>
  <c r="A61" i="2" s="1"/>
  <c r="R32" i="1" s="1"/>
  <c r="S136" i="5"/>
  <c r="K136" i="5"/>
  <c r="T135" i="5"/>
  <c r="S135" i="5"/>
  <c r="K135" i="5"/>
  <c r="R135" i="5" s="1"/>
  <c r="T134" i="5"/>
  <c r="S134" i="5"/>
  <c r="K134" i="5"/>
  <c r="R134" i="5" s="1"/>
  <c r="T133" i="5"/>
  <c r="S133" i="5"/>
  <c r="K133" i="5"/>
  <c r="R133" i="5" s="1"/>
  <c r="T132" i="5"/>
  <c r="S132" i="5"/>
  <c r="K132" i="5"/>
  <c r="R132" i="5" s="1"/>
  <c r="T131" i="5"/>
  <c r="S131" i="5"/>
  <c r="K131" i="5"/>
  <c r="R131" i="5" s="1"/>
  <c r="T130" i="5"/>
  <c r="S130" i="5"/>
  <c r="K130" i="5"/>
  <c r="R130" i="5" s="1"/>
  <c r="T129" i="5"/>
  <c r="S129" i="5"/>
  <c r="K129" i="5"/>
  <c r="R129" i="5" s="1"/>
  <c r="T128" i="5"/>
  <c r="S128" i="5"/>
  <c r="K128" i="5"/>
  <c r="R128" i="5" s="1"/>
  <c r="T127" i="5"/>
  <c r="S127" i="5"/>
  <c r="K127" i="5"/>
  <c r="R127" i="5" s="1"/>
  <c r="T126" i="5"/>
  <c r="A59" i="2" s="1"/>
  <c r="R30" i="1" s="1"/>
  <c r="S126" i="5"/>
  <c r="K126" i="5"/>
  <c r="R126" i="5" s="1"/>
  <c r="T125" i="5"/>
  <c r="S125" i="5"/>
  <c r="K125" i="5"/>
  <c r="R125" i="5" s="1"/>
  <c r="T124" i="5"/>
  <c r="S124" i="5"/>
  <c r="K124" i="5"/>
  <c r="R124" i="5" s="1"/>
  <c r="T123" i="5"/>
  <c r="S123" i="5"/>
  <c r="K123" i="5"/>
  <c r="R123" i="5" s="1"/>
  <c r="T122" i="5"/>
  <c r="S122" i="5"/>
  <c r="G122" i="5"/>
  <c r="T121" i="5"/>
  <c r="A58" i="2" s="1"/>
  <c r="R29" i="1" s="1"/>
  <c r="S121" i="5"/>
  <c r="K121" i="5"/>
  <c r="R121" i="5" s="1"/>
  <c r="T120" i="5"/>
  <c r="S120" i="5"/>
  <c r="K120" i="5"/>
  <c r="R120" i="5" s="1"/>
  <c r="T119" i="5"/>
  <c r="S119" i="5"/>
  <c r="K119" i="5"/>
  <c r="R119" i="5" s="1"/>
  <c r="T118" i="5"/>
  <c r="S118" i="5"/>
  <c r="K118" i="5"/>
  <c r="R118" i="5" s="1"/>
  <c r="T117" i="5"/>
  <c r="S117" i="5"/>
  <c r="K117" i="5"/>
  <c r="R117" i="5" s="1"/>
  <c r="T116" i="5"/>
  <c r="A57" i="2" s="1"/>
  <c r="R28" i="1" s="1"/>
  <c r="S116" i="5"/>
  <c r="K116" i="5"/>
  <c r="R116" i="5" s="1"/>
  <c r="T115" i="5"/>
  <c r="S115" i="5"/>
  <c r="K115" i="5"/>
  <c r="R115" i="5" s="1"/>
  <c r="T114" i="5"/>
  <c r="S114" i="5"/>
  <c r="K114" i="5"/>
  <c r="R114" i="5" s="1"/>
  <c r="T113" i="5"/>
  <c r="S113" i="5"/>
  <c r="K113" i="5"/>
  <c r="R113" i="5" s="1"/>
  <c r="T112" i="5"/>
  <c r="S112" i="5"/>
  <c r="K112" i="5"/>
  <c r="R112" i="5" s="1"/>
  <c r="T111" i="5"/>
  <c r="S111" i="5"/>
  <c r="T110" i="5"/>
  <c r="S110" i="5"/>
  <c r="K110" i="5"/>
  <c r="R110" i="5" s="1"/>
  <c r="T109" i="5"/>
  <c r="S109" i="5"/>
  <c r="K109" i="5"/>
  <c r="R109" i="5" s="1"/>
  <c r="T108" i="5"/>
  <c r="S108" i="5"/>
  <c r="K108" i="5"/>
  <c r="R108" i="5" s="1"/>
  <c r="T107" i="5"/>
  <c r="S107" i="5"/>
  <c r="K107" i="5"/>
  <c r="R107" i="5" s="1"/>
  <c r="T106" i="5"/>
  <c r="A55" i="2" s="1"/>
  <c r="R26" i="1" s="1"/>
  <c r="S106" i="5"/>
  <c r="K106" i="5"/>
  <c r="R106" i="5" s="1"/>
  <c r="T105" i="5"/>
  <c r="S105" i="5"/>
  <c r="K105" i="5"/>
  <c r="R105" i="5" s="1"/>
  <c r="T104" i="5"/>
  <c r="S104" i="5"/>
  <c r="K104" i="5"/>
  <c r="R104" i="5" s="1"/>
  <c r="T103" i="5"/>
  <c r="S103" i="5"/>
  <c r="K103" i="5"/>
  <c r="R103" i="5" s="1"/>
  <c r="T102" i="5"/>
  <c r="S102" i="5"/>
  <c r="K102" i="5"/>
  <c r="R102" i="5" s="1"/>
  <c r="T101" i="5"/>
  <c r="A54" i="2" s="1"/>
  <c r="R25" i="1" s="1"/>
  <c r="S101" i="5"/>
  <c r="T100" i="5"/>
  <c r="S100" i="5"/>
  <c r="K100" i="5"/>
  <c r="R100" i="5" s="1"/>
  <c r="T99" i="5"/>
  <c r="S99" i="5"/>
  <c r="K99" i="5"/>
  <c r="R99" i="5" s="1"/>
  <c r="T98" i="5"/>
  <c r="S98" i="5"/>
  <c r="T97" i="5"/>
  <c r="S97" i="5"/>
  <c r="K97" i="5"/>
  <c r="R97" i="5" s="1"/>
  <c r="T96" i="5"/>
  <c r="A53" i="2" s="1"/>
  <c r="R24" i="1" s="1"/>
  <c r="S96" i="5"/>
  <c r="T95" i="5"/>
  <c r="S95" i="5"/>
  <c r="K95" i="5"/>
  <c r="R95" i="5" s="1"/>
  <c r="T94" i="5"/>
  <c r="S94" i="5"/>
  <c r="K94" i="5"/>
  <c r="R94" i="5" s="1"/>
  <c r="T93" i="5"/>
  <c r="S93" i="5"/>
  <c r="K93" i="5"/>
  <c r="R93" i="5" s="1"/>
  <c r="G93" i="5"/>
  <c r="T92" i="5"/>
  <c r="S92" i="5"/>
  <c r="K92" i="5"/>
  <c r="R92" i="5" s="1"/>
  <c r="T91" i="5"/>
  <c r="A52" i="2" s="1"/>
  <c r="R23" i="1" s="1"/>
  <c r="S91" i="5"/>
  <c r="K91" i="5"/>
  <c r="R91" i="5" s="1"/>
  <c r="T90" i="5"/>
  <c r="S90" i="5"/>
  <c r="K90" i="5"/>
  <c r="R90" i="5" s="1"/>
  <c r="T89" i="5"/>
  <c r="S89" i="5"/>
  <c r="K89" i="5"/>
  <c r="R89" i="5" s="1"/>
  <c r="T88" i="5"/>
  <c r="S88" i="5"/>
  <c r="K88" i="5"/>
  <c r="R88" i="5" s="1"/>
  <c r="T87" i="5"/>
  <c r="S87" i="5"/>
  <c r="K87" i="5"/>
  <c r="R87" i="5" s="1"/>
  <c r="T86" i="5"/>
  <c r="A51" i="2" s="1"/>
  <c r="R22" i="1" s="1"/>
  <c r="S86" i="5"/>
  <c r="K86" i="5"/>
  <c r="R86" i="5" s="1"/>
  <c r="T85" i="5"/>
  <c r="S85" i="5"/>
  <c r="K85" i="5"/>
  <c r="R85" i="5" s="1"/>
  <c r="T84" i="5"/>
  <c r="S84" i="5"/>
  <c r="K84" i="5"/>
  <c r="R84" i="5" s="1"/>
  <c r="T83" i="5"/>
  <c r="S83" i="5"/>
  <c r="T82" i="5"/>
  <c r="S82" i="5"/>
  <c r="K82" i="5"/>
  <c r="R82" i="5" s="1"/>
  <c r="T81" i="5"/>
  <c r="A50" i="2" s="1"/>
  <c r="R21" i="1" s="1"/>
  <c r="S81" i="5"/>
  <c r="K81" i="5"/>
  <c r="R81" i="5" s="1"/>
  <c r="T80" i="5"/>
  <c r="S80" i="5"/>
  <c r="K80" i="5"/>
  <c r="R80" i="5" s="1"/>
  <c r="T79" i="5"/>
  <c r="S79" i="5"/>
  <c r="K79" i="5"/>
  <c r="R79" i="5" s="1"/>
  <c r="T78" i="5"/>
  <c r="S78" i="5"/>
  <c r="K78" i="5"/>
  <c r="R78" i="5" s="1"/>
  <c r="T77" i="5"/>
  <c r="S77" i="5"/>
  <c r="K77" i="5"/>
  <c r="R77" i="5" s="1"/>
  <c r="T76" i="5"/>
  <c r="A49" i="2" s="1"/>
  <c r="R20" i="1" s="1"/>
  <c r="S76" i="5"/>
  <c r="K76" i="5"/>
  <c r="R76" i="5" s="1"/>
  <c r="T75" i="5"/>
  <c r="S75" i="5"/>
  <c r="K75" i="5"/>
  <c r="R75" i="5" s="1"/>
  <c r="T74" i="5"/>
  <c r="S74" i="5"/>
  <c r="K74" i="5"/>
  <c r="R74" i="5" s="1"/>
  <c r="G74" i="5"/>
  <c r="T73" i="5"/>
  <c r="S73" i="5"/>
  <c r="K73" i="5"/>
  <c r="R73" i="5" s="1"/>
  <c r="T72" i="5"/>
  <c r="S72" i="5"/>
  <c r="T71" i="5"/>
  <c r="S71" i="5"/>
  <c r="K71" i="5"/>
  <c r="R71" i="5" s="1"/>
  <c r="T70" i="5"/>
  <c r="S70" i="5"/>
  <c r="K70" i="5"/>
  <c r="R70" i="5" s="1"/>
  <c r="T69" i="5"/>
  <c r="S69" i="5"/>
  <c r="K69" i="5"/>
  <c r="R69" i="5" s="1"/>
  <c r="T68" i="5"/>
  <c r="S68" i="5"/>
  <c r="K68" i="5"/>
  <c r="R68" i="5" s="1"/>
  <c r="T67" i="5"/>
  <c r="S67" i="5"/>
  <c r="K67" i="5"/>
  <c r="R67" i="5" s="1"/>
  <c r="T66" i="5"/>
  <c r="A47" i="2" s="1"/>
  <c r="R18" i="1" s="1"/>
  <c r="S66" i="5"/>
  <c r="K66" i="5"/>
  <c r="R66" i="5" s="1"/>
  <c r="T65" i="5"/>
  <c r="S65" i="5"/>
  <c r="K65" i="5"/>
  <c r="R65" i="5" s="1"/>
  <c r="T64" i="5"/>
  <c r="S64" i="5"/>
  <c r="K64" i="5"/>
  <c r="R64" i="5" s="1"/>
  <c r="T63" i="5"/>
  <c r="S63" i="5"/>
  <c r="K63" i="5"/>
  <c r="R63" i="5" s="1"/>
  <c r="T62" i="5"/>
  <c r="S62" i="5"/>
  <c r="K62" i="5"/>
  <c r="R62" i="5" s="1"/>
  <c r="T61" i="5"/>
  <c r="A46" i="2" s="1"/>
  <c r="R17" i="1" s="1"/>
  <c r="S61" i="5"/>
  <c r="K61" i="5"/>
  <c r="R61" i="5" s="1"/>
  <c r="T60" i="5"/>
  <c r="S60" i="5"/>
  <c r="T59" i="5"/>
  <c r="S59" i="5"/>
  <c r="K59" i="5"/>
  <c r="R59" i="5" s="1"/>
  <c r="T58" i="5"/>
  <c r="S58" i="5"/>
  <c r="K58" i="5"/>
  <c r="R58" i="5" s="1"/>
  <c r="E58" i="5"/>
  <c r="T57" i="5"/>
  <c r="S57" i="5"/>
  <c r="K57" i="5"/>
  <c r="R57" i="5" s="1"/>
  <c r="T56" i="5"/>
  <c r="A45" i="2" s="1"/>
  <c r="R16" i="1" s="1"/>
  <c r="S56" i="5"/>
  <c r="K56" i="5"/>
  <c r="R56" i="5" s="1"/>
  <c r="T55" i="5"/>
  <c r="S55" i="5"/>
  <c r="K55" i="5"/>
  <c r="R55" i="5" s="1"/>
  <c r="C55" i="5"/>
  <c r="T54" i="5"/>
  <c r="S54" i="5"/>
  <c r="K54" i="5"/>
  <c r="R54" i="5" s="1"/>
  <c r="T53" i="5"/>
  <c r="S53" i="5"/>
  <c r="K53" i="5"/>
  <c r="R53" i="5" s="1"/>
  <c r="T52" i="5"/>
  <c r="S52" i="5"/>
  <c r="K52" i="5"/>
  <c r="R52" i="5" s="1"/>
  <c r="T51" i="5"/>
  <c r="A44" i="2" s="1"/>
  <c r="R15" i="1" s="1"/>
  <c r="S51" i="5"/>
  <c r="K51" i="5"/>
  <c r="R51" i="5" s="1"/>
  <c r="C51" i="5"/>
  <c r="T50" i="5"/>
  <c r="S50" i="5"/>
  <c r="K50" i="5"/>
  <c r="R50" i="5" s="1"/>
  <c r="T49" i="5"/>
  <c r="S49" i="5"/>
  <c r="K49" i="5"/>
  <c r="R49" i="5" s="1"/>
  <c r="G49" i="5"/>
  <c r="T48" i="5"/>
  <c r="S48" i="5"/>
  <c r="K48" i="5"/>
  <c r="R48" i="5" s="1"/>
  <c r="E48" i="5"/>
  <c r="T47" i="5"/>
  <c r="S47" i="5"/>
  <c r="T46" i="5"/>
  <c r="A43" i="2" s="1"/>
  <c r="R14" i="1" s="1"/>
  <c r="S46" i="5"/>
  <c r="K46" i="5"/>
  <c r="R46" i="5" s="1"/>
  <c r="F46" i="5"/>
  <c r="T45" i="5"/>
  <c r="S45" i="5"/>
  <c r="K45" i="5"/>
  <c r="R45" i="5" s="1"/>
  <c r="T44" i="5"/>
  <c r="S44" i="5"/>
  <c r="K44" i="5"/>
  <c r="R44" i="5" s="1"/>
  <c r="T43" i="5"/>
  <c r="S43" i="5"/>
  <c r="K43" i="5"/>
  <c r="R43" i="5" s="1"/>
  <c r="T42" i="5"/>
  <c r="S42" i="5"/>
  <c r="K42" i="5"/>
  <c r="R42" i="5" s="1"/>
  <c r="T41" i="5"/>
  <c r="A42" i="2" s="1"/>
  <c r="R13" i="1" s="1"/>
  <c r="S41" i="5"/>
  <c r="K41" i="5"/>
  <c r="R41" i="5" s="1"/>
  <c r="G41" i="5"/>
  <c r="T40" i="5"/>
  <c r="S40" i="5"/>
  <c r="K40" i="5"/>
  <c r="R40" i="5" s="1"/>
  <c r="T39" i="5"/>
  <c r="S39" i="5"/>
  <c r="K39" i="5"/>
  <c r="R39" i="5" s="1"/>
  <c r="T38" i="5"/>
  <c r="S38" i="5"/>
  <c r="K38" i="5"/>
  <c r="R38" i="5" s="1"/>
  <c r="T37" i="5"/>
  <c r="S37" i="5"/>
  <c r="K37" i="5"/>
  <c r="R37" i="5" s="1"/>
  <c r="T36" i="5"/>
  <c r="A41" i="2" s="1"/>
  <c r="R12" i="1" s="1"/>
  <c r="S36" i="5"/>
  <c r="K36" i="5"/>
  <c r="R36" i="5" s="1"/>
  <c r="T35" i="5"/>
  <c r="S35" i="5"/>
  <c r="K35" i="5"/>
  <c r="R35" i="5" s="1"/>
  <c r="T34" i="5"/>
  <c r="S34" i="5"/>
  <c r="G34" i="5"/>
  <c r="T33" i="5"/>
  <c r="S33" i="5"/>
  <c r="K33" i="5"/>
  <c r="R33" i="5" s="1"/>
  <c r="G33" i="5"/>
  <c r="C33" i="5"/>
  <c r="T32" i="5"/>
  <c r="S32" i="5"/>
  <c r="C32" i="5"/>
  <c r="T31" i="5"/>
  <c r="A40" i="2" s="1"/>
  <c r="R11" i="1" s="1"/>
  <c r="S31" i="5"/>
  <c r="K31" i="5"/>
  <c r="R31" i="5" s="1"/>
  <c r="F31" i="5"/>
  <c r="C31" i="5"/>
  <c r="B31" i="5"/>
  <c r="T30" i="5"/>
  <c r="S30" i="5"/>
  <c r="K30" i="5"/>
  <c r="R30" i="5" s="1"/>
  <c r="T29" i="5"/>
  <c r="S29" i="5"/>
  <c r="K29" i="5"/>
  <c r="R29" i="5" s="1"/>
  <c r="T28" i="5"/>
  <c r="S28" i="5"/>
  <c r="K28" i="5"/>
  <c r="R28" i="5" s="1"/>
  <c r="D28" i="5"/>
  <c r="T27" i="5"/>
  <c r="S27" i="5"/>
  <c r="K27" i="5"/>
  <c r="R27" i="5" s="1"/>
  <c r="C27" i="5"/>
  <c r="T26" i="5"/>
  <c r="A39" i="2" s="1"/>
  <c r="R10" i="1" s="1"/>
  <c r="S26" i="5"/>
  <c r="K26" i="5"/>
  <c r="R26" i="5" s="1"/>
  <c r="F26" i="5"/>
  <c r="E26" i="5"/>
  <c r="T25" i="5"/>
  <c r="S25" i="5"/>
  <c r="K25" i="5"/>
  <c r="R25" i="5" s="1"/>
  <c r="T24" i="5"/>
  <c r="S24" i="5"/>
  <c r="K24" i="5"/>
  <c r="R24" i="5" s="1"/>
  <c r="T23" i="5"/>
  <c r="S23" i="5"/>
  <c r="K23" i="5"/>
  <c r="R23" i="5" s="1"/>
  <c r="G23" i="5"/>
  <c r="T22" i="5"/>
  <c r="S22" i="5"/>
  <c r="K22" i="5"/>
  <c r="R22" i="5" s="1"/>
  <c r="G22" i="5"/>
  <c r="F22" i="5"/>
  <c r="E22" i="5"/>
  <c r="T21" i="5"/>
  <c r="A38" i="2" s="1"/>
  <c r="R9" i="1" s="1"/>
  <c r="S21" i="5"/>
  <c r="K21" i="5"/>
  <c r="R21" i="5" s="1"/>
  <c r="T20" i="5"/>
  <c r="S20" i="5"/>
  <c r="K20" i="5"/>
  <c r="R20" i="5" s="1"/>
  <c r="C20" i="5"/>
  <c r="B20" i="5"/>
  <c r="T19" i="5"/>
  <c r="S19" i="5"/>
  <c r="K19" i="5"/>
  <c r="R19" i="5" s="1"/>
  <c r="G19" i="5"/>
  <c r="T18" i="5"/>
  <c r="S18" i="5"/>
  <c r="K18" i="5"/>
  <c r="R18" i="5" s="1"/>
  <c r="T17" i="5"/>
  <c r="S17" i="5"/>
  <c r="K17" i="5"/>
  <c r="R17" i="5" s="1"/>
  <c r="F17" i="5"/>
  <c r="C17" i="5"/>
  <c r="T16" i="5"/>
  <c r="A37" i="2" s="1"/>
  <c r="R8" i="1" s="1"/>
  <c r="S16" i="5"/>
  <c r="K16" i="5"/>
  <c r="R16" i="5" s="1"/>
  <c r="T15" i="5"/>
  <c r="S15" i="5"/>
  <c r="K15" i="5"/>
  <c r="R15" i="5" s="1"/>
  <c r="F15" i="5"/>
  <c r="B15" i="5"/>
  <c r="T14" i="5"/>
  <c r="S14" i="5"/>
  <c r="K14" i="5"/>
  <c r="R14" i="5" s="1"/>
  <c r="G14" i="5"/>
  <c r="F14" i="5"/>
  <c r="T13" i="5"/>
  <c r="S13" i="5"/>
  <c r="K13" i="5"/>
  <c r="R13" i="5" s="1"/>
  <c r="B13" i="5"/>
  <c r="T12" i="5"/>
  <c r="S12" i="5"/>
  <c r="K12" i="5"/>
  <c r="R12" i="5" s="1"/>
  <c r="C12" i="5"/>
  <c r="T11" i="5"/>
  <c r="A36" i="2" s="1"/>
  <c r="R7" i="1" s="1"/>
  <c r="S11" i="5"/>
  <c r="K11" i="5"/>
  <c r="R11" i="5" s="1"/>
  <c r="G11" i="5"/>
  <c r="T10" i="5"/>
  <c r="S10" i="5"/>
  <c r="K10" i="5"/>
  <c r="R10" i="5" s="1"/>
  <c r="T9" i="5"/>
  <c r="S9" i="5"/>
  <c r="K9" i="5"/>
  <c r="R9" i="5" s="1"/>
  <c r="F9" i="5"/>
  <c r="C9" i="5"/>
  <c r="T8" i="5"/>
  <c r="S8" i="5"/>
  <c r="K8" i="5"/>
  <c r="R8" i="5" s="1"/>
  <c r="T7" i="5"/>
  <c r="S7" i="5"/>
  <c r="Q7" i="5"/>
  <c r="F7" i="5"/>
  <c r="K101" i="5"/>
  <c r="R101" i="5" s="1"/>
  <c r="E110" i="5"/>
  <c r="K34" i="5"/>
  <c r="R34" i="5" s="1"/>
  <c r="G54" i="5"/>
  <c r="F30" i="5"/>
  <c r="E17" i="5"/>
  <c r="D37" i="5"/>
  <c r="C45" i="5"/>
  <c r="B24" i="5"/>
  <c r="G24" i="3"/>
  <c r="P18" i="5" s="1"/>
  <c r="G21" i="3"/>
  <c r="L12" i="3"/>
  <c r="F12" i="3"/>
  <c r="D38" i="1" s="1"/>
  <c r="E12" i="3"/>
  <c r="D12" i="3"/>
  <c r="C38" i="1" s="1"/>
  <c r="L11" i="3"/>
  <c r="F11" i="3"/>
  <c r="D37" i="1" s="1"/>
  <c r="E11" i="3"/>
  <c r="L10" i="3"/>
  <c r="F10" i="3"/>
  <c r="D36" i="1" s="1"/>
  <c r="E10" i="3"/>
  <c r="L9" i="3"/>
  <c r="F9" i="3"/>
  <c r="D35" i="1" s="1"/>
  <c r="E9" i="3"/>
  <c r="L8" i="3"/>
  <c r="F8" i="3"/>
  <c r="D34" i="1" s="1"/>
  <c r="E8" i="3"/>
  <c r="L7" i="3"/>
  <c r="F7" i="3"/>
  <c r="E7" i="3"/>
  <c r="A60" i="2"/>
  <c r="R31" i="1" s="1"/>
  <c r="A56" i="2"/>
  <c r="R27" i="1" s="1"/>
  <c r="A48" i="2"/>
  <c r="R19" i="1" s="1"/>
  <c r="I6" i="2"/>
  <c r="C6" i="2"/>
  <c r="B38" i="1"/>
  <c r="A38" i="1"/>
  <c r="B37" i="1"/>
  <c r="A37" i="1"/>
  <c r="B36" i="1"/>
  <c r="A36" i="1"/>
  <c r="B35" i="1"/>
  <c r="A35" i="1"/>
  <c r="M34" i="1"/>
  <c r="B34" i="1"/>
  <c r="A34" i="1"/>
  <c r="B33" i="1"/>
  <c r="A33" i="1"/>
  <c r="M32" i="1"/>
  <c r="V12" i="1"/>
  <c r="V11" i="1"/>
  <c r="V10" i="1"/>
  <c r="V9" i="1"/>
  <c r="V8" i="1"/>
  <c r="V7" i="1"/>
  <c r="F984" i="16" l="1"/>
  <c r="U29" i="4"/>
  <c r="U13" i="4"/>
  <c r="U28" i="4"/>
  <c r="U12" i="4"/>
  <c r="S35" i="4"/>
  <c r="F950" i="16"/>
  <c r="U27" i="4"/>
  <c r="U11" i="4"/>
  <c r="U42" i="4"/>
  <c r="U26" i="4"/>
  <c r="U10" i="4"/>
  <c r="U41" i="4"/>
  <c r="Q22" i="4"/>
  <c r="S22" i="4" s="1"/>
  <c r="U40" i="4"/>
  <c r="U8" i="4"/>
  <c r="U39" i="4"/>
  <c r="U23" i="4"/>
  <c r="U7" i="4"/>
  <c r="S12" i="4"/>
  <c r="U38" i="4"/>
  <c r="U22" i="4"/>
  <c r="R29" i="4"/>
  <c r="R9" i="4"/>
  <c r="Q19" i="4"/>
  <c r="S19" i="4" s="1"/>
  <c r="R21" i="4"/>
  <c r="N36" i="4"/>
  <c r="R36" i="4" s="1"/>
  <c r="U34" i="4"/>
  <c r="S42" i="4"/>
  <c r="N35" i="4"/>
  <c r="R35" i="4" s="1"/>
  <c r="H1040" i="16"/>
  <c r="U30" i="4"/>
  <c r="S27" i="4"/>
  <c r="R32" i="4"/>
  <c r="J5" i="17"/>
  <c r="J9" i="17" s="1"/>
  <c r="J10" i="17" s="1"/>
  <c r="S39" i="4"/>
  <c r="S24" i="4"/>
  <c r="S18" i="4"/>
  <c r="S20" i="4"/>
  <c r="S29" i="4"/>
  <c r="S36" i="4"/>
  <c r="Q32" i="4"/>
  <c r="S32" i="4" s="1"/>
  <c r="S30" i="4"/>
  <c r="S23" i="4"/>
  <c r="R26" i="4"/>
  <c r="N31" i="4"/>
  <c r="R31" i="4" s="1"/>
  <c r="Q33" i="4"/>
  <c r="S33" i="4" s="1"/>
  <c r="S13" i="4"/>
  <c r="N22" i="4"/>
  <c r="R22" i="4" s="1"/>
  <c r="R40" i="4"/>
  <c r="R20" i="4"/>
  <c r="M40" i="4"/>
  <c r="Q40" i="4" s="1"/>
  <c r="S40" i="4" s="1"/>
  <c r="Q16" i="4"/>
  <c r="S16" i="4" s="1"/>
  <c r="R24" i="4"/>
  <c r="R23" i="4"/>
  <c r="R13" i="4"/>
  <c r="R18" i="4"/>
  <c r="R25" i="4"/>
  <c r="N39" i="4"/>
  <c r="R39" i="4" s="1"/>
  <c r="Q28" i="4"/>
  <c r="S28" i="4" s="1"/>
  <c r="O28" i="4"/>
  <c r="P28" i="4" s="1"/>
  <c r="O27" i="4"/>
  <c r="P27" i="4" s="1"/>
  <c r="Q41" i="4"/>
  <c r="S41" i="4" s="1"/>
  <c r="N38" i="4"/>
  <c r="R38" i="4" s="1"/>
  <c r="N34" i="4"/>
  <c r="R34" i="4" s="1"/>
  <c r="M38" i="4"/>
  <c r="Q38" i="4" s="1"/>
  <c r="S38" i="4" s="1"/>
  <c r="R17" i="4"/>
  <c r="Q21" i="4"/>
  <c r="S21" i="4" s="1"/>
  <c r="N33" i="4"/>
  <c r="R33" i="4" s="1"/>
  <c r="M37" i="4"/>
  <c r="Q37" i="4" s="1"/>
  <c r="S37" i="4" s="1"/>
  <c r="R16" i="4"/>
  <c r="R15" i="4"/>
  <c r="R14" i="4"/>
  <c r="N30" i="4"/>
  <c r="R30" i="4" s="1"/>
  <c r="M34" i="4"/>
  <c r="Q34" i="4" s="1"/>
  <c r="S34" i="4" s="1"/>
  <c r="Q17" i="4"/>
  <c r="S17" i="4" s="1"/>
  <c r="R12" i="4"/>
  <c r="R11" i="4"/>
  <c r="N42" i="4"/>
  <c r="N41" i="4"/>
  <c r="B10" i="17"/>
  <c r="H988" i="16"/>
  <c r="C964" i="16"/>
  <c r="G923" i="16"/>
  <c r="F1043" i="16"/>
  <c r="H918" i="16"/>
  <c r="G1037" i="16"/>
  <c r="F907" i="16"/>
  <c r="B1022" i="16"/>
  <c r="G845" i="16"/>
  <c r="B1019" i="16"/>
  <c r="E827" i="16"/>
  <c r="H1015" i="16"/>
  <c r="E788" i="16"/>
  <c r="D1012" i="16"/>
  <c r="D731" i="16"/>
  <c r="F1005" i="16"/>
  <c r="H995" i="16"/>
  <c r="D7" i="3"/>
  <c r="C33" i="1" s="1"/>
  <c r="C955" i="16"/>
  <c r="C809" i="16"/>
  <c r="D1009" i="16"/>
  <c r="E945" i="16"/>
  <c r="H764" i="16"/>
  <c r="B52" i="5"/>
  <c r="B38" i="5"/>
  <c r="F1002" i="16"/>
  <c r="G934" i="16"/>
  <c r="H687" i="16"/>
  <c r="A21" i="16"/>
  <c r="H998" i="16"/>
  <c r="H929" i="16"/>
  <c r="B553" i="16"/>
  <c r="A23" i="16"/>
  <c r="C992" i="16"/>
  <c r="B1035" i="16"/>
  <c r="D980" i="16"/>
  <c r="G900" i="16"/>
  <c r="D1032" i="16"/>
  <c r="B976" i="16"/>
  <c r="F891" i="16"/>
  <c r="G1028" i="16"/>
  <c r="G971" i="16"/>
  <c r="D880" i="16"/>
  <c r="G1025" i="16"/>
  <c r="E968" i="16"/>
  <c r="B864" i="16"/>
  <c r="A12" i="16"/>
  <c r="A8" i="16"/>
  <c r="A7" i="16"/>
  <c r="G1043" i="16"/>
  <c r="B1041" i="16"/>
  <c r="H1037" i="16"/>
  <c r="C1035" i="16"/>
  <c r="E1032" i="16"/>
  <c r="H1028" i="16"/>
  <c r="H1025" i="16"/>
  <c r="G1022" i="16"/>
  <c r="C1019" i="16"/>
  <c r="C1016" i="16"/>
  <c r="E1012" i="16"/>
  <c r="E1009" i="16"/>
  <c r="G1005" i="16"/>
  <c r="G1002" i="16"/>
  <c r="B999" i="16"/>
  <c r="B996" i="16"/>
  <c r="D992" i="16"/>
  <c r="B989" i="16"/>
  <c r="G984" i="16"/>
  <c r="E980" i="16"/>
  <c r="C976" i="16"/>
  <c r="H972" i="16"/>
  <c r="F968" i="16"/>
  <c r="D964" i="16"/>
  <c r="H959" i="16"/>
  <c r="D955" i="16"/>
  <c r="G950" i="16"/>
  <c r="H945" i="16"/>
  <c r="G939" i="16"/>
  <c r="H934" i="16"/>
  <c r="B930" i="16"/>
  <c r="H924" i="16"/>
  <c r="B919" i="16"/>
  <c r="C914" i="16"/>
  <c r="G907" i="16"/>
  <c r="H900" i="16"/>
  <c r="G891" i="16"/>
  <c r="D882" i="16"/>
  <c r="C864" i="16"/>
  <c r="H845" i="16"/>
  <c r="F827" i="16"/>
  <c r="D809" i="16"/>
  <c r="F788" i="16"/>
  <c r="B765" i="16"/>
  <c r="E731" i="16"/>
  <c r="B688" i="16"/>
  <c r="B48" i="16"/>
  <c r="D48" i="16" s="1"/>
  <c r="F47" i="16"/>
  <c r="B51" i="16"/>
  <c r="B54" i="16"/>
  <c r="F57" i="16"/>
  <c r="C61" i="16"/>
  <c r="C64" i="16"/>
  <c r="G70" i="16"/>
  <c r="C74" i="16"/>
  <c r="G77" i="16"/>
  <c r="G80" i="16"/>
  <c r="B84" i="16"/>
  <c r="F87" i="16"/>
  <c r="B91" i="16"/>
  <c r="C94" i="16"/>
  <c r="C98" i="16"/>
  <c r="C102" i="16"/>
  <c r="B107" i="16"/>
  <c r="D107" i="16" s="1"/>
  <c r="B111" i="16"/>
  <c r="B119" i="16"/>
  <c r="B124" i="16"/>
  <c r="B128" i="16"/>
  <c r="B132" i="16"/>
  <c r="G135" i="16"/>
  <c r="C152" i="16"/>
  <c r="B157" i="16"/>
  <c r="G47" i="16"/>
  <c r="C51" i="16"/>
  <c r="C54" i="16"/>
  <c r="G57" i="16"/>
  <c r="F67" i="16"/>
  <c r="B71" i="16"/>
  <c r="F74" i="16"/>
  <c r="B81" i="16"/>
  <c r="C84" i="16"/>
  <c r="G87" i="16"/>
  <c r="C91" i="16"/>
  <c r="G102" i="16"/>
  <c r="C107" i="16"/>
  <c r="C111" i="16"/>
  <c r="G115" i="16"/>
  <c r="C119" i="16"/>
  <c r="C124" i="16"/>
  <c r="C128" i="16"/>
  <c r="C48" i="16"/>
  <c r="F54" i="16"/>
  <c r="B58" i="16"/>
  <c r="F61" i="16"/>
  <c r="B45" i="16"/>
  <c r="B50" i="16"/>
  <c r="D50" i="16" s="1"/>
  <c r="G53" i="16"/>
  <c r="F58" i="16"/>
  <c r="B66" i="16"/>
  <c r="G69" i="16"/>
  <c r="F73" i="16"/>
  <c r="F77" i="16"/>
  <c r="B85" i="16"/>
  <c r="B89" i="16"/>
  <c r="B93" i="16"/>
  <c r="B97" i="16"/>
  <c r="G101" i="16"/>
  <c r="G106" i="16"/>
  <c r="B112" i="16"/>
  <c r="C121" i="16"/>
  <c r="B126" i="16"/>
  <c r="D126" i="16" s="1"/>
  <c r="G130" i="16"/>
  <c r="G139" i="16"/>
  <c r="B144" i="16"/>
  <c r="C148" i="16"/>
  <c r="G152" i="16"/>
  <c r="B165" i="16"/>
  <c r="G169" i="16"/>
  <c r="F176" i="16"/>
  <c r="H178" i="16"/>
  <c r="C181" i="16"/>
  <c r="E183" i="16"/>
  <c r="G185" i="16"/>
  <c r="B188" i="16"/>
  <c r="D190" i="16"/>
  <c r="F192" i="16"/>
  <c r="H194" i="16"/>
  <c r="C197" i="16"/>
  <c r="E199" i="16"/>
  <c r="G201" i="16"/>
  <c r="B204" i="16"/>
  <c r="D206" i="16"/>
  <c r="F208" i="16"/>
  <c r="H210" i="16"/>
  <c r="C213" i="16"/>
  <c r="E215" i="16"/>
  <c r="G217" i="16"/>
  <c r="B220" i="16"/>
  <c r="D222" i="16"/>
  <c r="F224" i="16"/>
  <c r="H226" i="16"/>
  <c r="C229" i="16"/>
  <c r="E231" i="16"/>
  <c r="B46" i="16"/>
  <c r="C50" i="16"/>
  <c r="G58" i="16"/>
  <c r="F62" i="16"/>
  <c r="C66" i="16"/>
  <c r="G73" i="16"/>
  <c r="B78" i="16"/>
  <c r="F81" i="16"/>
  <c r="C85" i="16"/>
  <c r="C89" i="16"/>
  <c r="C93" i="16"/>
  <c r="C97" i="16"/>
  <c r="G107" i="16"/>
  <c r="C112" i="16"/>
  <c r="G116" i="16"/>
  <c r="G121" i="16"/>
  <c r="C126" i="16"/>
  <c r="B131" i="16"/>
  <c r="G134" i="16"/>
  <c r="B140" i="16"/>
  <c r="C144" i="16"/>
  <c r="B153" i="16"/>
  <c r="G157" i="16"/>
  <c r="G161" i="16"/>
  <c r="C165" i="16"/>
  <c r="B170" i="16"/>
  <c r="B174" i="16"/>
  <c r="G176" i="16"/>
  <c r="B179" i="16"/>
  <c r="D181" i="16"/>
  <c r="F183" i="16"/>
  <c r="H185" i="16"/>
  <c r="C188" i="16"/>
  <c r="E190" i="16"/>
  <c r="G192" i="16"/>
  <c r="B195" i="16"/>
  <c r="D197" i="16"/>
  <c r="F199" i="16"/>
  <c r="H201" i="16"/>
  <c r="C204" i="16"/>
  <c r="E206" i="16"/>
  <c r="G208" i="16"/>
  <c r="B211" i="16"/>
  <c r="D213" i="16"/>
  <c r="F215" i="16"/>
  <c r="H217" i="16"/>
  <c r="C220" i="16"/>
  <c r="E222" i="16"/>
  <c r="C46" i="16"/>
  <c r="G54" i="16"/>
  <c r="B59" i="16"/>
  <c r="G62" i="16"/>
  <c r="B70" i="16"/>
  <c r="B74" i="16"/>
  <c r="C78" i="16"/>
  <c r="G81" i="16"/>
  <c r="F85" i="16"/>
  <c r="B102" i="16"/>
  <c r="B108" i="16"/>
  <c r="B122" i="16"/>
  <c r="C131" i="16"/>
  <c r="B135" i="16"/>
  <c r="C140" i="16"/>
  <c r="G144" i="16"/>
  <c r="G148" i="16"/>
  <c r="C153" i="16"/>
  <c r="B162" i="16"/>
  <c r="G165" i="16"/>
  <c r="C170" i="16"/>
  <c r="C174" i="16"/>
  <c r="H176" i="16"/>
  <c r="C179" i="16"/>
  <c r="E181" i="16"/>
  <c r="F50" i="16"/>
  <c r="B55" i="16"/>
  <c r="C59" i="16"/>
  <c r="F66" i="16"/>
  <c r="C70" i="16"/>
  <c r="G74" i="16"/>
  <c r="B82" i="16"/>
  <c r="G85" i="16"/>
  <c r="F89" i="16"/>
  <c r="F93" i="16"/>
  <c r="G97" i="16"/>
  <c r="B103" i="16"/>
  <c r="C108" i="16"/>
  <c r="G112" i="16"/>
  <c r="B117" i="16"/>
  <c r="C122" i="16"/>
  <c r="G126" i="16"/>
  <c r="C135" i="16"/>
  <c r="G140" i="16"/>
  <c r="B145" i="16"/>
  <c r="D145" i="16" s="1"/>
  <c r="G153" i="16"/>
  <c r="B158" i="16"/>
  <c r="C162" i="16"/>
  <c r="G170" i="16"/>
  <c r="F46" i="16"/>
  <c r="G50" i="16"/>
  <c r="C55" i="16"/>
  <c r="F59" i="16"/>
  <c r="B63" i="16"/>
  <c r="G66" i="16"/>
  <c r="F70" i="16"/>
  <c r="B75" i="16"/>
  <c r="F78" i="16"/>
  <c r="C82" i="16"/>
  <c r="G89" i="16"/>
  <c r="G93" i="16"/>
  <c r="B98" i="16"/>
  <c r="D98" i="16" s="1"/>
  <c r="G45" i="16"/>
  <c r="F52" i="16"/>
  <c r="B64" i="16"/>
  <c r="B69" i="16"/>
  <c r="G75" i="16"/>
  <c r="C80" i="16"/>
  <c r="C86" i="16"/>
  <c r="B92" i="16"/>
  <c r="G98" i="16"/>
  <c r="G104" i="16"/>
  <c r="G117" i="16"/>
  <c r="B130" i="16"/>
  <c r="D130" i="16" s="1"/>
  <c r="C136" i="16"/>
  <c r="B142" i="16"/>
  <c r="C154" i="16"/>
  <c r="G159" i="16"/>
  <c r="C171" i="16"/>
  <c r="E175" i="16"/>
  <c r="C178" i="16"/>
  <c r="H180" i="16"/>
  <c r="H183" i="16"/>
  <c r="E186" i="16"/>
  <c r="B189" i="16"/>
  <c r="F191" i="16"/>
  <c r="C194" i="16"/>
  <c r="G196" i="16"/>
  <c r="D199" i="16"/>
  <c r="C202" i="16"/>
  <c r="G204" i="16"/>
  <c r="D207" i="16"/>
  <c r="H209" i="16"/>
  <c r="E212" i="16"/>
  <c r="B215" i="16"/>
  <c r="F217" i="16"/>
  <c r="E220" i="16"/>
  <c r="B223" i="16"/>
  <c r="E225" i="16"/>
  <c r="H227" i="16"/>
  <c r="D230" i="16"/>
  <c r="G232" i="16"/>
  <c r="B235" i="16"/>
  <c r="D237" i="16"/>
  <c r="F239" i="16"/>
  <c r="H241" i="16"/>
  <c r="C244" i="16"/>
  <c r="E246" i="16"/>
  <c r="G248" i="16"/>
  <c r="B251" i="16"/>
  <c r="D253" i="16"/>
  <c r="F255" i="16"/>
  <c r="H257" i="16"/>
  <c r="C260" i="16"/>
  <c r="E262" i="16"/>
  <c r="G264" i="16"/>
  <c r="B267" i="16"/>
  <c r="D269" i="16"/>
  <c r="F271" i="16"/>
  <c r="H273" i="16"/>
  <c r="C276" i="16"/>
  <c r="E278" i="16"/>
  <c r="G280" i="16"/>
  <c r="B283" i="16"/>
  <c r="D285" i="16"/>
  <c r="F287" i="16"/>
  <c r="H289" i="16"/>
  <c r="C292" i="16"/>
  <c r="E294" i="16"/>
  <c r="G296" i="16"/>
  <c r="B299" i="16"/>
  <c r="D301" i="16"/>
  <c r="F303" i="16"/>
  <c r="H305" i="16"/>
  <c r="C308" i="16"/>
  <c r="E310" i="16"/>
  <c r="G312" i="16"/>
  <c r="B315" i="16"/>
  <c r="D317" i="16"/>
  <c r="F319" i="16"/>
  <c r="H321" i="16"/>
  <c r="C324" i="16"/>
  <c r="E326" i="16"/>
  <c r="G328" i="16"/>
  <c r="B331" i="16"/>
  <c r="D333" i="16"/>
  <c r="F335" i="16"/>
  <c r="H337" i="16"/>
  <c r="C340" i="16"/>
  <c r="E342" i="16"/>
  <c r="G344" i="16"/>
  <c r="B347" i="16"/>
  <c r="D349" i="16"/>
  <c r="F351" i="16"/>
  <c r="G46" i="16"/>
  <c r="G52" i="16"/>
  <c r="C58" i="16"/>
  <c r="F64" i="16"/>
  <c r="C69" i="16"/>
  <c r="B76" i="16"/>
  <c r="F86" i="16"/>
  <c r="C92" i="16"/>
  <c r="B99" i="16"/>
  <c r="B105" i="16"/>
  <c r="G110" i="16"/>
  <c r="G124" i="16"/>
  <c r="C130" i="16"/>
  <c r="G136" i="16"/>
  <c r="C142" i="16"/>
  <c r="G147" i="16"/>
  <c r="G154" i="16"/>
  <c r="B160" i="16"/>
  <c r="D160" i="16" s="1"/>
  <c r="G164" i="16"/>
  <c r="F175" i="16"/>
  <c r="D178" i="16"/>
  <c r="B181" i="16"/>
  <c r="B184" i="16"/>
  <c r="F186" i="16"/>
  <c r="C189" i="16"/>
  <c r="G191" i="16"/>
  <c r="D194" i="16"/>
  <c r="H196" i="16"/>
  <c r="G199" i="16"/>
  <c r="D202" i="16"/>
  <c r="H204" i="16"/>
  <c r="E207" i="16"/>
  <c r="B210" i="16"/>
  <c r="F212" i="16"/>
  <c r="C215" i="16"/>
  <c r="B218" i="16"/>
  <c r="F220" i="16"/>
  <c r="C223" i="16"/>
  <c r="F225" i="16"/>
  <c r="B228" i="16"/>
  <c r="E230" i="16"/>
  <c r="H232" i="16"/>
  <c r="C235" i="16"/>
  <c r="E237" i="16"/>
  <c r="G239" i="16"/>
  <c r="B242" i="16"/>
  <c r="D244" i="16"/>
  <c r="F246" i="16"/>
  <c r="H248" i="16"/>
  <c r="C251" i="16"/>
  <c r="E253" i="16"/>
  <c r="G255" i="16"/>
  <c r="B258" i="16"/>
  <c r="D260" i="16"/>
  <c r="F262" i="16"/>
  <c r="H264" i="16"/>
  <c r="C267" i="16"/>
  <c r="E269" i="16"/>
  <c r="G271" i="16"/>
  <c r="B274" i="16"/>
  <c r="D276" i="16"/>
  <c r="F278" i="16"/>
  <c r="H280" i="16"/>
  <c r="C283" i="16"/>
  <c r="E285" i="16"/>
  <c r="G287" i="16"/>
  <c r="B290" i="16"/>
  <c r="D292" i="16"/>
  <c r="F294" i="16"/>
  <c r="H296" i="16"/>
  <c r="C299" i="16"/>
  <c r="E301" i="16"/>
  <c r="G303" i="16"/>
  <c r="B306" i="16"/>
  <c r="D308" i="16"/>
  <c r="F310" i="16"/>
  <c r="H312" i="16"/>
  <c r="C315" i="16"/>
  <c r="E317" i="16"/>
  <c r="G319" i="16"/>
  <c r="B322" i="16"/>
  <c r="D324" i="16"/>
  <c r="F326" i="16"/>
  <c r="H328" i="16"/>
  <c r="C331" i="16"/>
  <c r="E333" i="16"/>
  <c r="G335" i="16"/>
  <c r="B338" i="16"/>
  <c r="D340" i="16"/>
  <c r="F342" i="16"/>
  <c r="H344" i="16"/>
  <c r="C347" i="16"/>
  <c r="E349" i="16"/>
  <c r="G351" i="16"/>
  <c r="B354" i="16"/>
  <c r="D356" i="16"/>
  <c r="F358" i="16"/>
  <c r="H46" i="16"/>
  <c r="G59" i="16"/>
  <c r="G64" i="16"/>
  <c r="F69" i="16"/>
  <c r="C76" i="16"/>
  <c r="F80" i="16"/>
  <c r="G86" i="16"/>
  <c r="C99" i="16"/>
  <c r="C105" i="16"/>
  <c r="G111" i="16"/>
  <c r="B118" i="16"/>
  <c r="B125" i="16"/>
  <c r="B137" i="16"/>
  <c r="B148" i="16"/>
  <c r="B155" i="16"/>
  <c r="D155" i="16" s="1"/>
  <c r="C160" i="16"/>
  <c r="G171" i="16"/>
  <c r="G175" i="16"/>
  <c r="E178" i="16"/>
  <c r="F181" i="16"/>
  <c r="C184" i="16"/>
  <c r="G186" i="16"/>
  <c r="D189" i="16"/>
  <c r="H191" i="16"/>
  <c r="E194" i="16"/>
  <c r="B197" i="16"/>
  <c r="H199" i="16"/>
  <c r="E202" i="16"/>
  <c r="B205" i="16"/>
  <c r="F207" i="16"/>
  <c r="C210" i="16"/>
  <c r="G212" i="16"/>
  <c r="D215" i="16"/>
  <c r="C218" i="16"/>
  <c r="G220" i="16"/>
  <c r="D223" i="16"/>
  <c r="G225" i="16"/>
  <c r="C228" i="16"/>
  <c r="F230" i="16"/>
  <c r="B233" i="16"/>
  <c r="D235" i="16"/>
  <c r="F237" i="16"/>
  <c r="H239" i="16"/>
  <c r="C242" i="16"/>
  <c r="E244" i="16"/>
  <c r="G246" i="16"/>
  <c r="B249" i="16"/>
  <c r="D251" i="16"/>
  <c r="F253" i="16"/>
  <c r="H255" i="16"/>
  <c r="C258" i="16"/>
  <c r="E260" i="16"/>
  <c r="G262" i="16"/>
  <c r="B265" i="16"/>
  <c r="D267" i="16"/>
  <c r="F269" i="16"/>
  <c r="H271" i="16"/>
  <c r="C274" i="16"/>
  <c r="E276" i="16"/>
  <c r="G278" i="16"/>
  <c r="B281" i="16"/>
  <c r="D283" i="16"/>
  <c r="F285" i="16"/>
  <c r="H287" i="16"/>
  <c r="C290" i="16"/>
  <c r="E292" i="16"/>
  <c r="G294" i="16"/>
  <c r="B297" i="16"/>
  <c r="D299" i="16"/>
  <c r="F301" i="16"/>
  <c r="H303" i="16"/>
  <c r="C306" i="16"/>
  <c r="E308" i="16"/>
  <c r="G310" i="16"/>
  <c r="B313" i="16"/>
  <c r="D315" i="16"/>
  <c r="F317" i="16"/>
  <c r="H319" i="16"/>
  <c r="C322" i="16"/>
  <c r="E324" i="16"/>
  <c r="G326" i="16"/>
  <c r="B329" i="16"/>
  <c r="D331" i="16"/>
  <c r="F333" i="16"/>
  <c r="H335" i="16"/>
  <c r="C338" i="16"/>
  <c r="E340" i="16"/>
  <c r="G342" i="16"/>
  <c r="B345" i="16"/>
  <c r="D347" i="16"/>
  <c r="F349" i="16"/>
  <c r="B47" i="16"/>
  <c r="B53" i="16"/>
  <c r="B60" i="16"/>
  <c r="B65" i="16"/>
  <c r="D65" i="16" s="1"/>
  <c r="C71" i="16"/>
  <c r="C81" i="16"/>
  <c r="B87" i="16"/>
  <c r="F92" i="16"/>
  <c r="B113" i="16"/>
  <c r="C118" i="16"/>
  <c r="C125" i="16"/>
  <c r="G131" i="16"/>
  <c r="C137" i="16"/>
  <c r="G142" i="16"/>
  <c r="B149" i="16"/>
  <c r="C155" i="16"/>
  <c r="B166" i="16"/>
  <c r="B172" i="16"/>
  <c r="D172" i="16" s="1"/>
  <c r="H175" i="16"/>
  <c r="F178" i="16"/>
  <c r="G181" i="16"/>
  <c r="D184" i="16"/>
  <c r="H186" i="16"/>
  <c r="E189" i="16"/>
  <c r="B192" i="16"/>
  <c r="F194" i="16"/>
  <c r="E197" i="16"/>
  <c r="B200" i="16"/>
  <c r="F202" i="16"/>
  <c r="C205" i="16"/>
  <c r="G207" i="16"/>
  <c r="D210" i="16"/>
  <c r="H212" i="16"/>
  <c r="G215" i="16"/>
  <c r="D218" i="16"/>
  <c r="H220" i="16"/>
  <c r="E223" i="16"/>
  <c r="H225" i="16"/>
  <c r="D228" i="16"/>
  <c r="G230" i="16"/>
  <c r="C233" i="16"/>
  <c r="E235" i="16"/>
  <c r="G237" i="16"/>
  <c r="B240" i="16"/>
  <c r="D242" i="16"/>
  <c r="F244" i="16"/>
  <c r="H246" i="16"/>
  <c r="C249" i="16"/>
  <c r="E251" i="16"/>
  <c r="G253" i="16"/>
  <c r="B256" i="16"/>
  <c r="D258" i="16"/>
  <c r="F260" i="16"/>
  <c r="H262" i="16"/>
  <c r="C265" i="16"/>
  <c r="E267" i="16"/>
  <c r="G269" i="16"/>
  <c r="B272" i="16"/>
  <c r="D274" i="16"/>
  <c r="F276" i="16"/>
  <c r="H278" i="16"/>
  <c r="C281" i="16"/>
  <c r="E283" i="16"/>
  <c r="G285" i="16"/>
  <c r="B288" i="16"/>
  <c r="D290" i="16"/>
  <c r="F292" i="16"/>
  <c r="H294" i="16"/>
  <c r="C297" i="16"/>
  <c r="E299" i="16"/>
  <c r="G301" i="16"/>
  <c r="B304" i="16"/>
  <c r="D306" i="16"/>
  <c r="F308" i="16"/>
  <c r="H310" i="16"/>
  <c r="C313" i="16"/>
  <c r="E315" i="16"/>
  <c r="G317" i="16"/>
  <c r="C47" i="16"/>
  <c r="C53" i="16"/>
  <c r="C60" i="16"/>
  <c r="C65" i="16"/>
  <c r="F71" i="16"/>
  <c r="F76" i="16"/>
  <c r="C87" i="16"/>
  <c r="G92" i="16"/>
  <c r="G99" i="16"/>
  <c r="G105" i="16"/>
  <c r="C113" i="16"/>
  <c r="C132" i="16"/>
  <c r="G137" i="16"/>
  <c r="B143" i="16"/>
  <c r="C149" i="16"/>
  <c r="G160" i="16"/>
  <c r="C166" i="16"/>
  <c r="C172" i="16"/>
  <c r="B176" i="16"/>
  <c r="G178" i="16"/>
  <c r="H181" i="16"/>
  <c r="E184" i="16"/>
  <c r="B187" i="16"/>
  <c r="F189" i="16"/>
  <c r="C192" i="16"/>
  <c r="G194" i="16"/>
  <c r="F197" i="16"/>
  <c r="C200" i="16"/>
  <c r="G202" i="16"/>
  <c r="D205" i="16"/>
  <c r="H207" i="16"/>
  <c r="E210" i="16"/>
  <c r="B213" i="16"/>
  <c r="F48" i="16"/>
  <c r="G71" i="16"/>
  <c r="G76" i="16"/>
  <c r="F82" i="16"/>
  <c r="B100" i="16"/>
  <c r="B106" i="16"/>
  <c r="G118" i="16"/>
  <c r="G125" i="16"/>
  <c r="B138" i="16"/>
  <c r="C143" i="16"/>
  <c r="G149" i="16"/>
  <c r="G155" i="16"/>
  <c r="B161" i="16"/>
  <c r="C176" i="16"/>
  <c r="D179" i="16"/>
  <c r="B182" i="16"/>
  <c r="F184" i="16"/>
  <c r="C187" i="16"/>
  <c r="G189" i="16"/>
  <c r="D192" i="16"/>
  <c r="C195" i="16"/>
  <c r="G197" i="16"/>
  <c r="D200" i="16"/>
  <c r="H202" i="16"/>
  <c r="E205" i="16"/>
  <c r="B208" i="16"/>
  <c r="F210" i="16"/>
  <c r="E213" i="16"/>
  <c r="B216" i="16"/>
  <c r="F218" i="16"/>
  <c r="C221" i="16"/>
  <c r="G223" i="16"/>
  <c r="C226" i="16"/>
  <c r="F228" i="16"/>
  <c r="B231" i="16"/>
  <c r="E233" i="16"/>
  <c r="G235" i="16"/>
  <c r="B238" i="16"/>
  <c r="D240" i="16"/>
  <c r="G48" i="16"/>
  <c r="F53" i="16"/>
  <c r="F60" i="16"/>
  <c r="F65" i="16"/>
  <c r="B77" i="16"/>
  <c r="G82" i="16"/>
  <c r="B88" i="16"/>
  <c r="B94" i="16"/>
  <c r="H94" i="16" s="1"/>
  <c r="C100" i="16"/>
  <c r="C106" i="16"/>
  <c r="G113" i="16"/>
  <c r="G119" i="16"/>
  <c r="C138" i="16"/>
  <c r="G143" i="16"/>
  <c r="B156" i="16"/>
  <c r="C161" i="16"/>
  <c r="G166" i="16"/>
  <c r="G172" i="16"/>
  <c r="D176" i="16"/>
  <c r="E179" i="16"/>
  <c r="B49" i="16"/>
  <c r="F55" i="16"/>
  <c r="G60" i="16"/>
  <c r="G65" i="16"/>
  <c r="B72" i="16"/>
  <c r="C77" i="16"/>
  <c r="B83" i="16"/>
  <c r="C88" i="16"/>
  <c r="G94" i="16"/>
  <c r="G100" i="16"/>
  <c r="B114" i="16"/>
  <c r="B120" i="16"/>
  <c r="H120" i="16" s="1"/>
  <c r="B127" i="16"/>
  <c r="G132" i="16"/>
  <c r="G138" i="16"/>
  <c r="C145" i="16"/>
  <c r="B150" i="16"/>
  <c r="C156" i="16"/>
  <c r="B167" i="16"/>
  <c r="D167" i="16" s="1"/>
  <c r="B173" i="16"/>
  <c r="D173" i="16" s="1"/>
  <c r="E176" i="16"/>
  <c r="F179" i="16"/>
  <c r="D182" i="16"/>
  <c r="H184" i="16"/>
  <c r="E187" i="16"/>
  <c r="B190" i="16"/>
  <c r="H192" i="16"/>
  <c r="E195" i="16"/>
  <c r="B198" i="16"/>
  <c r="C49" i="16"/>
  <c r="G55" i="16"/>
  <c r="B61" i="16"/>
  <c r="B67" i="16"/>
  <c r="C72" i="16"/>
  <c r="D77" i="16"/>
  <c r="C83" i="16"/>
  <c r="F88" i="16"/>
  <c r="G108" i="16"/>
  <c r="C114" i="16"/>
  <c r="C120" i="16"/>
  <c r="C127" i="16"/>
  <c r="B139" i="16"/>
  <c r="C150" i="16"/>
  <c r="G162" i="16"/>
  <c r="C167" i="16"/>
  <c r="C173" i="16"/>
  <c r="B177" i="16"/>
  <c r="G179" i="16"/>
  <c r="E182" i="16"/>
  <c r="B185" i="16"/>
  <c r="F187" i="16"/>
  <c r="G61" i="16"/>
  <c r="C67" i="16"/>
  <c r="F72" i="16"/>
  <c r="G78" i="16"/>
  <c r="G88" i="16"/>
  <c r="B95" i="16"/>
  <c r="B101" i="16"/>
  <c r="B109" i="16"/>
  <c r="G114" i="16"/>
  <c r="G120" i="16"/>
  <c r="G127" i="16"/>
  <c r="B133" i="16"/>
  <c r="C139" i="16"/>
  <c r="G145" i="16"/>
  <c r="G156" i="16"/>
  <c r="B163" i="16"/>
  <c r="G167" i="16"/>
  <c r="C177" i="16"/>
  <c r="H179" i="16"/>
  <c r="F182" i="16"/>
  <c r="F49" i="16"/>
  <c r="B56" i="16"/>
  <c r="G67" i="16"/>
  <c r="G72" i="16"/>
  <c r="F83" i="16"/>
  <c r="B90" i="16"/>
  <c r="C95" i="16"/>
  <c r="C101" i="16"/>
  <c r="C109" i="16"/>
  <c r="B115" i="16"/>
  <c r="B121" i="16"/>
  <c r="C133" i="16"/>
  <c r="G49" i="16"/>
  <c r="C56" i="16"/>
  <c r="B62" i="16"/>
  <c r="B68" i="16"/>
  <c r="B73" i="16"/>
  <c r="D73" i="16" s="1"/>
  <c r="B79" i="16"/>
  <c r="G83" i="16"/>
  <c r="C90" i="16"/>
  <c r="G95" i="16"/>
  <c r="C103" i="16"/>
  <c r="H103" i="16" s="1"/>
  <c r="C115" i="16"/>
  <c r="G122" i="16"/>
  <c r="G128" i="16"/>
  <c r="G133" i="16"/>
  <c r="B141" i="16"/>
  <c r="C146" i="16"/>
  <c r="B151" i="16"/>
  <c r="C158" i="16"/>
  <c r="C168" i="16"/>
  <c r="E177" i="16"/>
  <c r="C180" i="16"/>
  <c r="H182" i="16"/>
  <c r="E185" i="16"/>
  <c r="D188" i="16"/>
  <c r="H190" i="16"/>
  <c r="E193" i="16"/>
  <c r="B196" i="16"/>
  <c r="F198" i="16"/>
  <c r="C201" i="16"/>
  <c r="G203" i="16"/>
  <c r="F206" i="16"/>
  <c r="C209" i="16"/>
  <c r="G211" i="16"/>
  <c r="D214" i="16"/>
  <c r="H216" i="16"/>
  <c r="F51" i="16"/>
  <c r="F56" i="16"/>
  <c r="C62" i="16"/>
  <c r="C68" i="16"/>
  <c r="C73" i="16"/>
  <c r="C79" i="16"/>
  <c r="F84" i="16"/>
  <c r="F90" i="16"/>
  <c r="B96" i="16"/>
  <c r="D96" i="16" s="1"/>
  <c r="G103" i="16"/>
  <c r="F68" i="16"/>
  <c r="G123" i="16"/>
  <c r="B147" i="16"/>
  <c r="B180" i="16"/>
  <c r="C186" i="16"/>
  <c r="E191" i="16"/>
  <c r="F196" i="16"/>
  <c r="F201" i="16"/>
  <c r="G206" i="16"/>
  <c r="E211" i="16"/>
  <c r="C216" i="16"/>
  <c r="F219" i="16"/>
  <c r="H223" i="16"/>
  <c r="C227" i="16"/>
  <c r="H230" i="16"/>
  <c r="C234" i="16"/>
  <c r="C237" i="16"/>
  <c r="H240" i="16"/>
  <c r="G243" i="16"/>
  <c r="C247" i="16"/>
  <c r="B250" i="16"/>
  <c r="H252" i="16"/>
  <c r="D256" i="16"/>
  <c r="C259" i="16"/>
  <c r="B262" i="16"/>
  <c r="E265" i="16"/>
  <c r="D268" i="16"/>
  <c r="C271" i="16"/>
  <c r="F274" i="16"/>
  <c r="E277" i="16"/>
  <c r="D280" i="16"/>
  <c r="G283" i="16"/>
  <c r="F286" i="16"/>
  <c r="E289" i="16"/>
  <c r="H292" i="16"/>
  <c r="G295" i="16"/>
  <c r="F298" i="16"/>
  <c r="B302" i="16"/>
  <c r="H304" i="16"/>
  <c r="G307" i="16"/>
  <c r="C311" i="16"/>
  <c r="B314" i="16"/>
  <c r="H316" i="16"/>
  <c r="C320" i="16"/>
  <c r="H322" i="16"/>
  <c r="F325" i="16"/>
  <c r="D328" i="16"/>
  <c r="E331" i="16"/>
  <c r="C334" i="16"/>
  <c r="H336" i="16"/>
  <c r="F339" i="16"/>
  <c r="D342" i="16"/>
  <c r="E345" i="16"/>
  <c r="C348" i="16"/>
  <c r="H350" i="16"/>
  <c r="E353" i="16"/>
  <c r="H355" i="16"/>
  <c r="D358" i="16"/>
  <c r="G360" i="16"/>
  <c r="B363" i="16"/>
  <c r="D365" i="16"/>
  <c r="F367" i="16"/>
  <c r="H369" i="16"/>
  <c r="C372" i="16"/>
  <c r="E374" i="16"/>
  <c r="G376" i="16"/>
  <c r="B379" i="16"/>
  <c r="D381" i="16"/>
  <c r="F383" i="16"/>
  <c r="H385" i="16"/>
  <c r="C388" i="16"/>
  <c r="E390" i="16"/>
  <c r="G392" i="16"/>
  <c r="B395" i="16"/>
  <c r="D397" i="16"/>
  <c r="F399" i="16"/>
  <c r="H401" i="16"/>
  <c r="C404" i="16"/>
  <c r="E406" i="16"/>
  <c r="G408" i="16"/>
  <c r="B411" i="16"/>
  <c r="D413" i="16"/>
  <c r="F415" i="16"/>
  <c r="H417" i="16"/>
  <c r="C420" i="16"/>
  <c r="E422" i="16"/>
  <c r="G424" i="16"/>
  <c r="B427" i="16"/>
  <c r="D429" i="16"/>
  <c r="F431" i="16"/>
  <c r="H433" i="16"/>
  <c r="C436" i="16"/>
  <c r="E438" i="16"/>
  <c r="G440" i="16"/>
  <c r="B443" i="16"/>
  <c r="D445" i="16"/>
  <c r="F447" i="16"/>
  <c r="H449" i="16"/>
  <c r="C452" i="16"/>
  <c r="E454" i="16"/>
  <c r="G456" i="16"/>
  <c r="B459" i="16"/>
  <c r="D461" i="16"/>
  <c r="F463" i="16"/>
  <c r="H465" i="16"/>
  <c r="C468" i="16"/>
  <c r="G68" i="16"/>
  <c r="G96" i="16"/>
  <c r="B129" i="16"/>
  <c r="C147" i="16"/>
  <c r="B168" i="16"/>
  <c r="D180" i="16"/>
  <c r="D186" i="16"/>
  <c r="E192" i="16"/>
  <c r="H197" i="16"/>
  <c r="B202" i="16"/>
  <c r="H206" i="16"/>
  <c r="F211" i="16"/>
  <c r="D216" i="16"/>
  <c r="G219" i="16"/>
  <c r="B224" i="16"/>
  <c r="D227" i="16"/>
  <c r="C231" i="16"/>
  <c r="D234" i="16"/>
  <c r="H237" i="16"/>
  <c r="B241" i="16"/>
  <c r="H243" i="16"/>
  <c r="D247" i="16"/>
  <c r="C250" i="16"/>
  <c r="B253" i="16"/>
  <c r="E256" i="16"/>
  <c r="D259" i="16"/>
  <c r="C262" i="16"/>
  <c r="F265" i="16"/>
  <c r="E268" i="16"/>
  <c r="D271" i="16"/>
  <c r="G274" i="16"/>
  <c r="F277" i="16"/>
  <c r="E280" i="16"/>
  <c r="H283" i="16"/>
  <c r="G286" i="16"/>
  <c r="F289" i="16"/>
  <c r="B293" i="16"/>
  <c r="H295" i="16"/>
  <c r="G298" i="16"/>
  <c r="C302" i="16"/>
  <c r="B305" i="16"/>
  <c r="H307" i="16"/>
  <c r="D311" i="16"/>
  <c r="C314" i="16"/>
  <c r="B317" i="16"/>
  <c r="D320" i="16"/>
  <c r="B323" i="16"/>
  <c r="G325" i="16"/>
  <c r="E328" i="16"/>
  <c r="F331" i="16"/>
  <c r="D334" i="16"/>
  <c r="B337" i="16"/>
  <c r="G339" i="16"/>
  <c r="H342" i="16"/>
  <c r="F345" i="16"/>
  <c r="D348" i="16"/>
  <c r="B351" i="16"/>
  <c r="F353" i="16"/>
  <c r="B356" i="16"/>
  <c r="E358" i="16"/>
  <c r="H360" i="16"/>
  <c r="C363" i="16"/>
  <c r="E365" i="16"/>
  <c r="G367" i="16"/>
  <c r="B370" i="16"/>
  <c r="D372" i="16"/>
  <c r="F374" i="16"/>
  <c r="H376" i="16"/>
  <c r="C379" i="16"/>
  <c r="E381" i="16"/>
  <c r="G383" i="16"/>
  <c r="B386" i="16"/>
  <c r="D388" i="16"/>
  <c r="F390" i="16"/>
  <c r="H392" i="16"/>
  <c r="C395" i="16"/>
  <c r="E397" i="16"/>
  <c r="G399" i="16"/>
  <c r="B402" i="16"/>
  <c r="D404" i="16"/>
  <c r="F406" i="16"/>
  <c r="H408" i="16"/>
  <c r="C411" i="16"/>
  <c r="E413" i="16"/>
  <c r="G415" i="16"/>
  <c r="B418" i="16"/>
  <c r="D420" i="16"/>
  <c r="F422" i="16"/>
  <c r="H424" i="16"/>
  <c r="C427" i="16"/>
  <c r="E429" i="16"/>
  <c r="G431" i="16"/>
  <c r="B434" i="16"/>
  <c r="D436" i="16"/>
  <c r="F438" i="16"/>
  <c r="H440" i="16"/>
  <c r="C443" i="16"/>
  <c r="E445" i="16"/>
  <c r="G447" i="16"/>
  <c r="C129" i="16"/>
  <c r="G150" i="16"/>
  <c r="G168" i="16"/>
  <c r="E180" i="16"/>
  <c r="D187" i="16"/>
  <c r="B193" i="16"/>
  <c r="C198" i="16"/>
  <c r="B203" i="16"/>
  <c r="B207" i="16"/>
  <c r="H211" i="16"/>
  <c r="E216" i="16"/>
  <c r="H219" i="16"/>
  <c r="C224" i="16"/>
  <c r="E227" i="16"/>
  <c r="D231" i="16"/>
  <c r="E234" i="16"/>
  <c r="C238" i="16"/>
  <c r="C241" i="16"/>
  <c r="B244" i="16"/>
  <c r="E247" i="16"/>
  <c r="D250" i="16"/>
  <c r="C253" i="16"/>
  <c r="F256" i="16"/>
  <c r="E259" i="16"/>
  <c r="D262" i="16"/>
  <c r="G265" i="16"/>
  <c r="F268" i="16"/>
  <c r="E271" i="16"/>
  <c r="H274" i="16"/>
  <c r="G277" i="16"/>
  <c r="F280" i="16"/>
  <c r="B284" i="16"/>
  <c r="H286" i="16"/>
  <c r="G289" i="16"/>
  <c r="C293" i="16"/>
  <c r="B296" i="16"/>
  <c r="H298" i="16"/>
  <c r="D302" i="16"/>
  <c r="C305" i="16"/>
  <c r="B308" i="16"/>
  <c r="E311" i="16"/>
  <c r="D314" i="16"/>
  <c r="C317" i="16"/>
  <c r="E320" i="16"/>
  <c r="C323" i="16"/>
  <c r="H325" i="16"/>
  <c r="F328" i="16"/>
  <c r="G331" i="16"/>
  <c r="E334" i="16"/>
  <c r="C337" i="16"/>
  <c r="H339" i="16"/>
  <c r="B343" i="16"/>
  <c r="G345" i="16"/>
  <c r="E348" i="16"/>
  <c r="C351" i="16"/>
  <c r="G353" i="16"/>
  <c r="C356" i="16"/>
  <c r="G358" i="16"/>
  <c r="B361" i="16"/>
  <c r="D363" i="16"/>
  <c r="F365" i="16"/>
  <c r="H367" i="16"/>
  <c r="C370" i="16"/>
  <c r="E372" i="16"/>
  <c r="G374" i="16"/>
  <c r="B377" i="16"/>
  <c r="D379" i="16"/>
  <c r="F381" i="16"/>
  <c r="H383" i="16"/>
  <c r="C386" i="16"/>
  <c r="E388" i="16"/>
  <c r="G390" i="16"/>
  <c r="B393" i="16"/>
  <c r="D395" i="16"/>
  <c r="F397" i="16"/>
  <c r="H399" i="16"/>
  <c r="C402" i="16"/>
  <c r="E404" i="16"/>
  <c r="G406" i="16"/>
  <c r="B409" i="16"/>
  <c r="D411" i="16"/>
  <c r="F413" i="16"/>
  <c r="H415" i="16"/>
  <c r="C418" i="16"/>
  <c r="B104" i="16"/>
  <c r="C151" i="16"/>
  <c r="B169" i="16"/>
  <c r="F180" i="16"/>
  <c r="G187" i="16"/>
  <c r="C193" i="16"/>
  <c r="D198" i="16"/>
  <c r="C203" i="16"/>
  <c r="C207" i="16"/>
  <c r="B212" i="16"/>
  <c r="F216" i="16"/>
  <c r="D220" i="16"/>
  <c r="D224" i="16"/>
  <c r="F227" i="16"/>
  <c r="F231" i="16"/>
  <c r="F234" i="16"/>
  <c r="D238" i="16"/>
  <c r="D241" i="16"/>
  <c r="G244" i="16"/>
  <c r="F247" i="16"/>
  <c r="E250" i="16"/>
  <c r="H253" i="16"/>
  <c r="G256" i="16"/>
  <c r="F259" i="16"/>
  <c r="B263" i="16"/>
  <c r="H265" i="16"/>
  <c r="G268" i="16"/>
  <c r="C272" i="16"/>
  <c r="B275" i="16"/>
  <c r="H277" i="16"/>
  <c r="D281" i="16"/>
  <c r="C284" i="16"/>
  <c r="B287" i="16"/>
  <c r="E290" i="16"/>
  <c r="D293" i="16"/>
  <c r="C296" i="16"/>
  <c r="F299" i="16"/>
  <c r="E302" i="16"/>
  <c r="D305" i="16"/>
  <c r="G308" i="16"/>
  <c r="F311" i="16"/>
  <c r="E314" i="16"/>
  <c r="H317" i="16"/>
  <c r="F320" i="16"/>
  <c r="D323" i="16"/>
  <c r="B326" i="16"/>
  <c r="C329" i="16"/>
  <c r="H331" i="16"/>
  <c r="F334" i="16"/>
  <c r="D337" i="16"/>
  <c r="B340" i="16"/>
  <c r="C343" i="16"/>
  <c r="H345" i="16"/>
  <c r="F348" i="16"/>
  <c r="D351" i="16"/>
  <c r="H353" i="16"/>
  <c r="E356" i="16"/>
  <c r="H358" i="16"/>
  <c r="C361" i="16"/>
  <c r="E363" i="16"/>
  <c r="G365" i="16"/>
  <c r="B368" i="16"/>
  <c r="D370" i="16"/>
  <c r="F372" i="16"/>
  <c r="H374" i="16"/>
  <c r="C377" i="16"/>
  <c r="E379" i="16"/>
  <c r="G381" i="16"/>
  <c r="B384" i="16"/>
  <c r="D386" i="16"/>
  <c r="F388" i="16"/>
  <c r="H390" i="16"/>
  <c r="C393" i="16"/>
  <c r="C75" i="16"/>
  <c r="C104" i="16"/>
  <c r="G129" i="16"/>
  <c r="G151" i="16"/>
  <c r="C169" i="16"/>
  <c r="G180" i="16"/>
  <c r="H187" i="16"/>
  <c r="D193" i="16"/>
  <c r="E198" i="16"/>
  <c r="D203" i="16"/>
  <c r="C208" i="16"/>
  <c r="C212" i="16"/>
  <c r="G216" i="16"/>
  <c r="B221" i="16"/>
  <c r="E224" i="16"/>
  <c r="G227" i="16"/>
  <c r="G231" i="16"/>
  <c r="G234" i="16"/>
  <c r="E238" i="16"/>
  <c r="E241" i="16"/>
  <c r="H244" i="16"/>
  <c r="G247" i="16"/>
  <c r="F250" i="16"/>
  <c r="B254" i="16"/>
  <c r="H256" i="16"/>
  <c r="G259" i="16"/>
  <c r="C263" i="16"/>
  <c r="B266" i="16"/>
  <c r="H268" i="16"/>
  <c r="D272" i="16"/>
  <c r="C275" i="16"/>
  <c r="B278" i="16"/>
  <c r="E281" i="16"/>
  <c r="D284" i="16"/>
  <c r="C287" i="16"/>
  <c r="F290" i="16"/>
  <c r="E293" i="16"/>
  <c r="D296" i="16"/>
  <c r="G299" i="16"/>
  <c r="F302" i="16"/>
  <c r="E305" i="16"/>
  <c r="H308" i="16"/>
  <c r="G311" i="16"/>
  <c r="F314" i="16"/>
  <c r="B318" i="16"/>
  <c r="G320" i="16"/>
  <c r="E323" i="16"/>
  <c r="C326" i="16"/>
  <c r="D329" i="16"/>
  <c r="B332" i="16"/>
  <c r="G334" i="16"/>
  <c r="E337" i="16"/>
  <c r="F340" i="16"/>
  <c r="D343" i="16"/>
  <c r="B346" i="16"/>
  <c r="G348" i="16"/>
  <c r="E351" i="16"/>
  <c r="C354" i="16"/>
  <c r="F356" i="16"/>
  <c r="B359" i="16"/>
  <c r="D361" i="16"/>
  <c r="F363" i="16"/>
  <c r="H365" i="16"/>
  <c r="C368" i="16"/>
  <c r="E370" i="16"/>
  <c r="G372" i="16"/>
  <c r="B375" i="16"/>
  <c r="D377" i="16"/>
  <c r="F379" i="16"/>
  <c r="H381" i="16"/>
  <c r="C384" i="16"/>
  <c r="E386" i="16"/>
  <c r="G388" i="16"/>
  <c r="B391" i="16"/>
  <c r="C45" i="16"/>
  <c r="F75" i="16"/>
  <c r="G109" i="16"/>
  <c r="B152" i="16"/>
  <c r="B171" i="16"/>
  <c r="D171" i="16" s="1"/>
  <c r="C182" i="16"/>
  <c r="E188" i="16"/>
  <c r="F193" i="16"/>
  <c r="G198" i="16"/>
  <c r="E203" i="16"/>
  <c r="D208" i="16"/>
  <c r="D212" i="16"/>
  <c r="B217" i="16"/>
  <c r="D221" i="16"/>
  <c r="G224" i="16"/>
  <c r="E228" i="16"/>
  <c r="H231" i="16"/>
  <c r="H234" i="16"/>
  <c r="F238" i="16"/>
  <c r="F241" i="16"/>
  <c r="B245" i="16"/>
  <c r="H247" i="16"/>
  <c r="G250" i="16"/>
  <c r="C254" i="16"/>
  <c r="B257" i="16"/>
  <c r="H259" i="16"/>
  <c r="D263" i="16"/>
  <c r="C266" i="16"/>
  <c r="B269" i="16"/>
  <c r="E272" i="16"/>
  <c r="D275" i="16"/>
  <c r="C278" i="16"/>
  <c r="F281" i="16"/>
  <c r="E284" i="16"/>
  <c r="D287" i="16"/>
  <c r="G290" i="16"/>
  <c r="F293" i="16"/>
  <c r="E296" i="16"/>
  <c r="H299" i="16"/>
  <c r="G302" i="16"/>
  <c r="F305" i="16"/>
  <c r="B309" i="16"/>
  <c r="H311" i="16"/>
  <c r="G314" i="16"/>
  <c r="C318" i="16"/>
  <c r="H320" i="16"/>
  <c r="F323" i="16"/>
  <c r="D326" i="16"/>
  <c r="E329" i="16"/>
  <c r="C332" i="16"/>
  <c r="H334" i="16"/>
  <c r="F337" i="16"/>
  <c r="G340" i="16"/>
  <c r="E343" i="16"/>
  <c r="C346" i="16"/>
  <c r="H348" i="16"/>
  <c r="H351" i="16"/>
  <c r="D354" i="16"/>
  <c r="G356" i="16"/>
  <c r="C359" i="16"/>
  <c r="E361" i="16"/>
  <c r="G363" i="16"/>
  <c r="B366" i="16"/>
  <c r="D368" i="16"/>
  <c r="F370" i="16"/>
  <c r="H372" i="16"/>
  <c r="C375" i="16"/>
  <c r="E377" i="16"/>
  <c r="G379" i="16"/>
  <c r="B382" i="16"/>
  <c r="D384" i="16"/>
  <c r="F386" i="16"/>
  <c r="H388" i="16"/>
  <c r="C391" i="16"/>
  <c r="E393" i="16"/>
  <c r="G395" i="16"/>
  <c r="B398" i="16"/>
  <c r="D400" i="16"/>
  <c r="F402" i="16"/>
  <c r="H404" i="16"/>
  <c r="C407" i="16"/>
  <c r="E409" i="16"/>
  <c r="G411" i="16"/>
  <c r="B414" i="16"/>
  <c r="D416" i="16"/>
  <c r="F418" i="16"/>
  <c r="H420" i="16"/>
  <c r="C423" i="16"/>
  <c r="F45" i="16"/>
  <c r="F79" i="16"/>
  <c r="B134" i="16"/>
  <c r="B154" i="16"/>
  <c r="G173" i="16"/>
  <c r="G182" i="16"/>
  <c r="F188" i="16"/>
  <c r="G193" i="16"/>
  <c r="H198" i="16"/>
  <c r="F203" i="16"/>
  <c r="E208" i="16"/>
  <c r="F213" i="16"/>
  <c r="C217" i="16"/>
  <c r="E221" i="16"/>
  <c r="H224" i="16"/>
  <c r="G228" i="16"/>
  <c r="B232" i="16"/>
  <c r="F235" i="16"/>
  <c r="G238" i="16"/>
  <c r="G241" i="16"/>
  <c r="C245" i="16"/>
  <c r="B248" i="16"/>
  <c r="H250" i="16"/>
  <c r="D254" i="16"/>
  <c r="C257" i="16"/>
  <c r="B260" i="16"/>
  <c r="E263" i="16"/>
  <c r="D266" i="16"/>
  <c r="C269" i="16"/>
  <c r="F272" i="16"/>
  <c r="E275" i="16"/>
  <c r="D278" i="16"/>
  <c r="G281" i="16"/>
  <c r="F284" i="16"/>
  <c r="E287" i="16"/>
  <c r="H290" i="16"/>
  <c r="G293" i="16"/>
  <c r="F296" i="16"/>
  <c r="B300" i="16"/>
  <c r="H302" i="16"/>
  <c r="G305" i="16"/>
  <c r="C309" i="16"/>
  <c r="B312" i="16"/>
  <c r="H314" i="16"/>
  <c r="D318" i="16"/>
  <c r="B321" i="16"/>
  <c r="G323" i="16"/>
  <c r="H326" i="16"/>
  <c r="F329" i="16"/>
  <c r="D332" i="16"/>
  <c r="B335" i="16"/>
  <c r="G337" i="16"/>
  <c r="H340" i="16"/>
  <c r="F343" i="16"/>
  <c r="D346" i="16"/>
  <c r="B349" i="16"/>
  <c r="B352" i="16"/>
  <c r="E354" i="16"/>
  <c r="H356" i="16"/>
  <c r="D359" i="16"/>
  <c r="F361" i="16"/>
  <c r="H363" i="16"/>
  <c r="C366" i="16"/>
  <c r="E368" i="16"/>
  <c r="G370" i="16"/>
  <c r="B373" i="16"/>
  <c r="D375" i="16"/>
  <c r="F377" i="16"/>
  <c r="H379" i="16"/>
  <c r="C382" i="16"/>
  <c r="E384" i="16"/>
  <c r="G386" i="16"/>
  <c r="B389" i="16"/>
  <c r="D391" i="16"/>
  <c r="F393" i="16"/>
  <c r="H395" i="16"/>
  <c r="C398" i="16"/>
  <c r="E400" i="16"/>
  <c r="G51" i="16"/>
  <c r="G79" i="16"/>
  <c r="B110" i="16"/>
  <c r="C134" i="16"/>
  <c r="C157" i="16"/>
  <c r="G174" i="16"/>
  <c r="B183" i="16"/>
  <c r="G188" i="16"/>
  <c r="H193" i="16"/>
  <c r="B199" i="16"/>
  <c r="H203" i="16"/>
  <c r="H208" i="16"/>
  <c r="G213" i="16"/>
  <c r="D217" i="16"/>
  <c r="F221" i="16"/>
  <c r="B225" i="16"/>
  <c r="H228" i="16"/>
  <c r="C232" i="16"/>
  <c r="H235" i="16"/>
  <c r="H238" i="16"/>
  <c r="E242" i="16"/>
  <c r="D245" i="16"/>
  <c r="C248" i="16"/>
  <c r="F251" i="16"/>
  <c r="E254" i="16"/>
  <c r="D257" i="16"/>
  <c r="G260" i="16"/>
  <c r="F263" i="16"/>
  <c r="E266" i="16"/>
  <c r="H269" i="16"/>
  <c r="G272" i="16"/>
  <c r="F275" i="16"/>
  <c r="B279" i="16"/>
  <c r="H281" i="16"/>
  <c r="G284" i="16"/>
  <c r="C288" i="16"/>
  <c r="B291" i="16"/>
  <c r="H293" i="16"/>
  <c r="D297" i="16"/>
  <c r="C300" i="16"/>
  <c r="B303" i="16"/>
  <c r="E306" i="16"/>
  <c r="D309" i="16"/>
  <c r="C312" i="16"/>
  <c r="F315" i="16"/>
  <c r="E318" i="16"/>
  <c r="C321" i="16"/>
  <c r="H323" i="16"/>
  <c r="B327" i="16"/>
  <c r="G329" i="16"/>
  <c r="E332" i="16"/>
  <c r="C335" i="16"/>
  <c r="D338" i="16"/>
  <c r="B341" i="16"/>
  <c r="G343" i="16"/>
  <c r="E346" i="16"/>
  <c r="C349" i="16"/>
  <c r="C352" i="16"/>
  <c r="F354" i="16"/>
  <c r="B357" i="16"/>
  <c r="E359" i="16"/>
  <c r="G361" i="16"/>
  <c r="B364" i="16"/>
  <c r="D366" i="16"/>
  <c r="F368" i="16"/>
  <c r="H370" i="16"/>
  <c r="C373" i="16"/>
  <c r="E375" i="16"/>
  <c r="G377" i="16"/>
  <c r="B380" i="16"/>
  <c r="D382" i="16"/>
  <c r="F384" i="16"/>
  <c r="H386" i="16"/>
  <c r="C389" i="16"/>
  <c r="E391" i="16"/>
  <c r="B52" i="16"/>
  <c r="D52" i="16" s="1"/>
  <c r="B80" i="16"/>
  <c r="C110" i="16"/>
  <c r="B136" i="16"/>
  <c r="B175" i="16"/>
  <c r="C183" i="16"/>
  <c r="H188" i="16"/>
  <c r="B194" i="16"/>
  <c r="C199" i="16"/>
  <c r="D204" i="16"/>
  <c r="B209" i="16"/>
  <c r="H213" i="16"/>
  <c r="E217" i="16"/>
  <c r="G221" i="16"/>
  <c r="C225" i="16"/>
  <c r="B229" i="16"/>
  <c r="D232" i="16"/>
  <c r="B236" i="16"/>
  <c r="B239" i="16"/>
  <c r="F242" i="16"/>
  <c r="E245" i="16"/>
  <c r="D248" i="16"/>
  <c r="G251" i="16"/>
  <c r="F254" i="16"/>
  <c r="E257" i="16"/>
  <c r="H260" i="16"/>
  <c r="G263" i="16"/>
  <c r="F266" i="16"/>
  <c r="B270" i="16"/>
  <c r="H272" i="16"/>
  <c r="G275" i="16"/>
  <c r="C279" i="16"/>
  <c r="B282" i="16"/>
  <c r="H284" i="16"/>
  <c r="D288" i="16"/>
  <c r="C291" i="16"/>
  <c r="B294" i="16"/>
  <c r="E297" i="16"/>
  <c r="D300" i="16"/>
  <c r="C303" i="16"/>
  <c r="F306" i="16"/>
  <c r="E309" i="16"/>
  <c r="D312" i="16"/>
  <c r="G315" i="16"/>
  <c r="F318" i="16"/>
  <c r="D321" i="16"/>
  <c r="B324" i="16"/>
  <c r="C327" i="16"/>
  <c r="H329" i="16"/>
  <c r="F332" i="16"/>
  <c r="C52" i="16"/>
  <c r="G84" i="16"/>
  <c r="B116" i="16"/>
  <c r="C141" i="16"/>
  <c r="G158" i="16"/>
  <c r="C175" i="16"/>
  <c r="D183" i="16"/>
  <c r="H189" i="16"/>
  <c r="D195" i="16"/>
  <c r="E200" i="16"/>
  <c r="E204" i="16"/>
  <c r="D209" i="16"/>
  <c r="B214" i="16"/>
  <c r="E218" i="16"/>
  <c r="H221" i="16"/>
  <c r="D225" i="16"/>
  <c r="D229" i="16"/>
  <c r="E232" i="16"/>
  <c r="C236" i="16"/>
  <c r="C239" i="16"/>
  <c r="G242" i="16"/>
  <c r="F245" i="16"/>
  <c r="E248" i="16"/>
  <c r="H251" i="16"/>
  <c r="G254" i="16"/>
  <c r="F257" i="16"/>
  <c r="B261" i="16"/>
  <c r="H263" i="16"/>
  <c r="G266" i="16"/>
  <c r="C270" i="16"/>
  <c r="B273" i="16"/>
  <c r="H275" i="16"/>
  <c r="D279" i="16"/>
  <c r="C282" i="16"/>
  <c r="B285" i="16"/>
  <c r="E288" i="16"/>
  <c r="D291" i="16"/>
  <c r="C294" i="16"/>
  <c r="F297" i="16"/>
  <c r="E300" i="16"/>
  <c r="D303" i="16"/>
  <c r="G306" i="16"/>
  <c r="F309" i="16"/>
  <c r="E312" i="16"/>
  <c r="H315" i="16"/>
  <c r="G318" i="16"/>
  <c r="E321" i="16"/>
  <c r="F324" i="16"/>
  <c r="D327" i="16"/>
  <c r="B330" i="16"/>
  <c r="G332" i="16"/>
  <c r="E335" i="16"/>
  <c r="F338" i="16"/>
  <c r="D341" i="16"/>
  <c r="B344" i="16"/>
  <c r="G346" i="16"/>
  <c r="H349" i="16"/>
  <c r="E352" i="16"/>
  <c r="H354" i="16"/>
  <c r="D357" i="16"/>
  <c r="G359" i="16"/>
  <c r="B362" i="16"/>
  <c r="D364" i="16"/>
  <c r="F366" i="16"/>
  <c r="H368" i="16"/>
  <c r="C371" i="16"/>
  <c r="G56" i="16"/>
  <c r="H84" i="16"/>
  <c r="C116" i="16"/>
  <c r="B159" i="16"/>
  <c r="D175" i="16"/>
  <c r="G183" i="16"/>
  <c r="C190" i="16"/>
  <c r="F195" i="16"/>
  <c r="F200" i="16"/>
  <c r="F204" i="16"/>
  <c r="E209" i="16"/>
  <c r="C214" i="16"/>
  <c r="G218" i="16"/>
  <c r="B222" i="16"/>
  <c r="B226" i="16"/>
  <c r="E229" i="16"/>
  <c r="F232" i="16"/>
  <c r="D236" i="16"/>
  <c r="D239" i="16"/>
  <c r="H242" i="16"/>
  <c r="G245" i="16"/>
  <c r="F248" i="16"/>
  <c r="B252" i="16"/>
  <c r="H254" i="16"/>
  <c r="G257" i="16"/>
  <c r="C261" i="16"/>
  <c r="B264" i="16"/>
  <c r="H266" i="16"/>
  <c r="D270" i="16"/>
  <c r="C273" i="16"/>
  <c r="B276" i="16"/>
  <c r="E279" i="16"/>
  <c r="D282" i="16"/>
  <c r="C285" i="16"/>
  <c r="F288" i="16"/>
  <c r="E291" i="16"/>
  <c r="D294" i="16"/>
  <c r="G297" i="16"/>
  <c r="F300" i="16"/>
  <c r="E303" i="16"/>
  <c r="H306" i="16"/>
  <c r="B57" i="16"/>
  <c r="B86" i="16"/>
  <c r="G141" i="16"/>
  <c r="C159" i="16"/>
  <c r="D177" i="16"/>
  <c r="G184" i="16"/>
  <c r="F190" i="16"/>
  <c r="G195" i="16"/>
  <c r="G200" i="16"/>
  <c r="F205" i="16"/>
  <c r="F209" i="16"/>
  <c r="E214" i="16"/>
  <c r="H218" i="16"/>
  <c r="C222" i="16"/>
  <c r="D226" i="16"/>
  <c r="F229" i="16"/>
  <c r="D233" i="16"/>
  <c r="E236" i="16"/>
  <c r="E239" i="16"/>
  <c r="B243" i="16"/>
  <c r="H245" i="16"/>
  <c r="D249" i="16"/>
  <c r="C252" i="16"/>
  <c r="B255" i="16"/>
  <c r="E258" i="16"/>
  <c r="D261" i="16"/>
  <c r="C264" i="16"/>
  <c r="F267" i="16"/>
  <c r="E270" i="16"/>
  <c r="D273" i="16"/>
  <c r="G276" i="16"/>
  <c r="F279" i="16"/>
  <c r="E282" i="16"/>
  <c r="H285" i="16"/>
  <c r="G288" i="16"/>
  <c r="F291" i="16"/>
  <c r="B295" i="16"/>
  <c r="H297" i="16"/>
  <c r="G300" i="16"/>
  <c r="C304" i="16"/>
  <c r="B307" i="16"/>
  <c r="H309" i="16"/>
  <c r="C57" i="16"/>
  <c r="G90" i="16"/>
  <c r="C117" i="16"/>
  <c r="C163" i="16"/>
  <c r="F177" i="16"/>
  <c r="C185" i="16"/>
  <c r="G190" i="16"/>
  <c r="H195" i="16"/>
  <c r="H200" i="16"/>
  <c r="G205" i="16"/>
  <c r="G209" i="16"/>
  <c r="F214" i="16"/>
  <c r="B219" i="16"/>
  <c r="F222" i="16"/>
  <c r="E226" i="16"/>
  <c r="G229" i="16"/>
  <c r="F233" i="16"/>
  <c r="F236" i="16"/>
  <c r="C240" i="16"/>
  <c r="C243" i="16"/>
  <c r="B246" i="16"/>
  <c r="E249" i="16"/>
  <c r="D252" i="16"/>
  <c r="C255" i="16"/>
  <c r="F258" i="16"/>
  <c r="E261" i="16"/>
  <c r="D264" i="16"/>
  <c r="G267" i="16"/>
  <c r="F270" i="16"/>
  <c r="E273" i="16"/>
  <c r="H276" i="16"/>
  <c r="G279" i="16"/>
  <c r="F282" i="16"/>
  <c r="B286" i="16"/>
  <c r="H288" i="16"/>
  <c r="G291" i="16"/>
  <c r="C295" i="16"/>
  <c r="B298" i="16"/>
  <c r="H300" i="16"/>
  <c r="G63" i="16"/>
  <c r="C96" i="16"/>
  <c r="G146" i="16"/>
  <c r="C164" i="16"/>
  <c r="B178" i="16"/>
  <c r="B186" i="16"/>
  <c r="D191" i="16"/>
  <c r="E196" i="16"/>
  <c r="E201" i="16"/>
  <c r="C206" i="16"/>
  <c r="D211" i="16"/>
  <c r="H215" i="16"/>
  <c r="E219" i="16"/>
  <c r="F223" i="16"/>
  <c r="B227" i="16"/>
  <c r="G177" i="16"/>
  <c r="C219" i="16"/>
  <c r="F240" i="16"/>
  <c r="C256" i="16"/>
  <c r="F273" i="16"/>
  <c r="C289" i="16"/>
  <c r="F304" i="16"/>
  <c r="H313" i="16"/>
  <c r="E322" i="16"/>
  <c r="D330" i="16"/>
  <c r="F336" i="16"/>
  <c r="H343" i="16"/>
  <c r="C350" i="16"/>
  <c r="E355" i="16"/>
  <c r="F360" i="16"/>
  <c r="G366" i="16"/>
  <c r="F371" i="16"/>
  <c r="C376" i="16"/>
  <c r="G380" i="16"/>
  <c r="D385" i="16"/>
  <c r="H389" i="16"/>
  <c r="C394" i="16"/>
  <c r="C397" i="16"/>
  <c r="H400" i="16"/>
  <c r="G403" i="16"/>
  <c r="B407" i="16"/>
  <c r="B410" i="16"/>
  <c r="H412" i="16"/>
  <c r="C416" i="16"/>
  <c r="C419" i="16"/>
  <c r="H421" i="16"/>
  <c r="F424" i="16"/>
  <c r="E427" i="16"/>
  <c r="B430" i="16"/>
  <c r="F432" i="16"/>
  <c r="C435" i="16"/>
  <c r="G437" i="16"/>
  <c r="D440" i="16"/>
  <c r="H442" i="16"/>
  <c r="G445" i="16"/>
  <c r="D448" i="16"/>
  <c r="G450" i="16"/>
  <c r="C453" i="16"/>
  <c r="F455" i="16"/>
  <c r="B458" i="16"/>
  <c r="E460" i="16"/>
  <c r="H462" i="16"/>
  <c r="D465" i="16"/>
  <c r="G467" i="16"/>
  <c r="C470" i="16"/>
  <c r="E472" i="16"/>
  <c r="G474" i="16"/>
  <c r="B477" i="16"/>
  <c r="D479" i="16"/>
  <c r="F481" i="16"/>
  <c r="H483" i="16"/>
  <c r="C486" i="16"/>
  <c r="E488" i="16"/>
  <c r="G490" i="16"/>
  <c r="B493" i="16"/>
  <c r="D495" i="16"/>
  <c r="F497" i="16"/>
  <c r="H499" i="16"/>
  <c r="C502" i="16"/>
  <c r="E504" i="16"/>
  <c r="G506" i="16"/>
  <c r="B509" i="16"/>
  <c r="D511" i="16"/>
  <c r="F513" i="16"/>
  <c r="H515" i="16"/>
  <c r="C518" i="16"/>
  <c r="E520" i="16"/>
  <c r="G522" i="16"/>
  <c r="B525" i="16"/>
  <c r="D527" i="16"/>
  <c r="F529" i="16"/>
  <c r="H531" i="16"/>
  <c r="C534" i="16"/>
  <c r="E536" i="16"/>
  <c r="G538" i="16"/>
  <c r="B541" i="16"/>
  <c r="D543" i="16"/>
  <c r="F545" i="16"/>
  <c r="H547" i="16"/>
  <c r="C550" i="16"/>
  <c r="E552" i="16"/>
  <c r="G554" i="16"/>
  <c r="B557" i="16"/>
  <c r="D559" i="16"/>
  <c r="F561" i="16"/>
  <c r="H563" i="16"/>
  <c r="C566" i="16"/>
  <c r="E568" i="16"/>
  <c r="G570" i="16"/>
  <c r="B573" i="16"/>
  <c r="D575" i="16"/>
  <c r="F577" i="16"/>
  <c r="H579" i="16"/>
  <c r="C582" i="16"/>
  <c r="E584" i="16"/>
  <c r="G586" i="16"/>
  <c r="B589" i="16"/>
  <c r="D591" i="16"/>
  <c r="F593" i="16"/>
  <c r="H595" i="16"/>
  <c r="C598" i="16"/>
  <c r="E600" i="16"/>
  <c r="G602" i="16"/>
  <c r="B605" i="16"/>
  <c r="D607" i="16"/>
  <c r="F609" i="16"/>
  <c r="H177" i="16"/>
  <c r="D219" i="16"/>
  <c r="G240" i="16"/>
  <c r="G258" i="16"/>
  <c r="G273" i="16"/>
  <c r="D289" i="16"/>
  <c r="G304" i="16"/>
  <c r="B316" i="16"/>
  <c r="F322" i="16"/>
  <c r="E330" i="16"/>
  <c r="G336" i="16"/>
  <c r="C344" i="16"/>
  <c r="D350" i="16"/>
  <c r="F355" i="16"/>
  <c r="H361" i="16"/>
  <c r="H366" i="16"/>
  <c r="G371" i="16"/>
  <c r="D376" i="16"/>
  <c r="H380" i="16"/>
  <c r="E385" i="16"/>
  <c r="B390" i="16"/>
  <c r="D394" i="16"/>
  <c r="G397" i="16"/>
  <c r="B401" i="16"/>
  <c r="H403" i="16"/>
  <c r="D407" i="16"/>
  <c r="C410" i="16"/>
  <c r="B413" i="16"/>
  <c r="E416" i="16"/>
  <c r="D419" i="16"/>
  <c r="B422" i="16"/>
  <c r="B425" i="16"/>
  <c r="F427" i="16"/>
  <c r="C430" i="16"/>
  <c r="G432" i="16"/>
  <c r="D435" i="16"/>
  <c r="H437" i="16"/>
  <c r="E440" i="16"/>
  <c r="D443" i="16"/>
  <c r="H445" i="16"/>
  <c r="E448" i="16"/>
  <c r="H450" i="16"/>
  <c r="D453" i="16"/>
  <c r="G455" i="16"/>
  <c r="C458" i="16"/>
  <c r="F460" i="16"/>
  <c r="B463" i="16"/>
  <c r="E465" i="16"/>
  <c r="H467" i="16"/>
  <c r="D470" i="16"/>
  <c r="F472" i="16"/>
  <c r="H474" i="16"/>
  <c r="C477" i="16"/>
  <c r="E479" i="16"/>
  <c r="G481" i="16"/>
  <c r="B484" i="16"/>
  <c r="D486" i="16"/>
  <c r="F488" i="16"/>
  <c r="H490" i="16"/>
  <c r="C493" i="16"/>
  <c r="E495" i="16"/>
  <c r="G497" i="16"/>
  <c r="B500" i="16"/>
  <c r="D502" i="16"/>
  <c r="F504" i="16"/>
  <c r="H506" i="16"/>
  <c r="C509" i="16"/>
  <c r="E511" i="16"/>
  <c r="G513" i="16"/>
  <c r="B516" i="16"/>
  <c r="D518" i="16"/>
  <c r="F520" i="16"/>
  <c r="H522" i="16"/>
  <c r="C525" i="16"/>
  <c r="E527" i="16"/>
  <c r="G529" i="16"/>
  <c r="B532" i="16"/>
  <c r="D534" i="16"/>
  <c r="F536" i="16"/>
  <c r="H538" i="16"/>
  <c r="C541" i="16"/>
  <c r="E543" i="16"/>
  <c r="G545" i="16"/>
  <c r="B548" i="16"/>
  <c r="D550" i="16"/>
  <c r="F552" i="16"/>
  <c r="H554" i="16"/>
  <c r="C557" i="16"/>
  <c r="E559" i="16"/>
  <c r="G561" i="16"/>
  <c r="B564" i="16"/>
  <c r="D566" i="16"/>
  <c r="F568" i="16"/>
  <c r="H570" i="16"/>
  <c r="C573" i="16"/>
  <c r="E575" i="16"/>
  <c r="G577" i="16"/>
  <c r="B580" i="16"/>
  <c r="D582" i="16"/>
  <c r="F584" i="16"/>
  <c r="H586" i="16"/>
  <c r="C589" i="16"/>
  <c r="E591" i="16"/>
  <c r="G593" i="16"/>
  <c r="B596" i="16"/>
  <c r="D598" i="16"/>
  <c r="F600" i="16"/>
  <c r="H602" i="16"/>
  <c r="C605" i="16"/>
  <c r="E607" i="16"/>
  <c r="G609" i="16"/>
  <c r="D185" i="16"/>
  <c r="G222" i="16"/>
  <c r="D243" i="16"/>
  <c r="H258" i="16"/>
  <c r="E274" i="16"/>
  <c r="H291" i="16"/>
  <c r="C307" i="16"/>
  <c r="C316" i="16"/>
  <c r="G322" i="16"/>
  <c r="F330" i="16"/>
  <c r="E338" i="16"/>
  <c r="D344" i="16"/>
  <c r="E350" i="16"/>
  <c r="G355" i="16"/>
  <c r="C362" i="16"/>
  <c r="B367" i="16"/>
  <c r="H371" i="16"/>
  <c r="E376" i="16"/>
  <c r="B381" i="16"/>
  <c r="F385" i="16"/>
  <c r="C390" i="16"/>
  <c r="E394" i="16"/>
  <c r="H397" i="16"/>
  <c r="C401" i="16"/>
  <c r="B404" i="16"/>
  <c r="E407" i="16"/>
  <c r="D410" i="16"/>
  <c r="C413" i="16"/>
  <c r="F416" i="16"/>
  <c r="E419" i="16"/>
  <c r="C422" i="16"/>
  <c r="C425" i="16"/>
  <c r="G427" i="16"/>
  <c r="D430" i="16"/>
  <c r="H432" i="16"/>
  <c r="E435" i="16"/>
  <c r="B438" i="16"/>
  <c r="F440" i="16"/>
  <c r="E443" i="16"/>
  <c r="B446" i="16"/>
  <c r="F448" i="16"/>
  <c r="B451" i="16"/>
  <c r="E453" i="16"/>
  <c r="H455" i="16"/>
  <c r="D458" i="16"/>
  <c r="G460" i="16"/>
  <c r="C463" i="16"/>
  <c r="F465" i="16"/>
  <c r="B468" i="16"/>
  <c r="E470" i="16"/>
  <c r="G472" i="16"/>
  <c r="B475" i="16"/>
  <c r="D477" i="16"/>
  <c r="F479" i="16"/>
  <c r="H481" i="16"/>
  <c r="C484" i="16"/>
  <c r="E486" i="16"/>
  <c r="G488" i="16"/>
  <c r="B491" i="16"/>
  <c r="D493" i="16"/>
  <c r="F495" i="16"/>
  <c r="H497" i="16"/>
  <c r="C500" i="16"/>
  <c r="E502" i="16"/>
  <c r="G504" i="16"/>
  <c r="B507" i="16"/>
  <c r="D509" i="16"/>
  <c r="F511" i="16"/>
  <c r="H513" i="16"/>
  <c r="C516" i="16"/>
  <c r="E518" i="16"/>
  <c r="G520" i="16"/>
  <c r="B523" i="16"/>
  <c r="D525" i="16"/>
  <c r="F527" i="16"/>
  <c r="H529" i="16"/>
  <c r="C532" i="16"/>
  <c r="E534" i="16"/>
  <c r="G536" i="16"/>
  <c r="B539" i="16"/>
  <c r="D541" i="16"/>
  <c r="F543" i="16"/>
  <c r="H545" i="16"/>
  <c r="C548" i="16"/>
  <c r="E550" i="16"/>
  <c r="G552" i="16"/>
  <c r="B555" i="16"/>
  <c r="D557" i="16"/>
  <c r="F559" i="16"/>
  <c r="H561" i="16"/>
  <c r="C564" i="16"/>
  <c r="E566" i="16"/>
  <c r="G568" i="16"/>
  <c r="B571" i="16"/>
  <c r="D573" i="16"/>
  <c r="F575" i="16"/>
  <c r="H577" i="16"/>
  <c r="C580" i="16"/>
  <c r="E582" i="16"/>
  <c r="G584" i="16"/>
  <c r="B587" i="16"/>
  <c r="D589" i="16"/>
  <c r="F591" i="16"/>
  <c r="H593" i="16"/>
  <c r="F185" i="16"/>
  <c r="H222" i="16"/>
  <c r="E243" i="16"/>
  <c r="B259" i="16"/>
  <c r="B277" i="16"/>
  <c r="B292" i="16"/>
  <c r="D307" i="16"/>
  <c r="D316" i="16"/>
  <c r="G324" i="16"/>
  <c r="G330" i="16"/>
  <c r="G338" i="16"/>
  <c r="E344" i="16"/>
  <c r="F350" i="16"/>
  <c r="C357" i="16"/>
  <c r="D362" i="16"/>
  <c r="C367" i="16"/>
  <c r="B372" i="16"/>
  <c r="F376" i="16"/>
  <c r="C381" i="16"/>
  <c r="G385" i="16"/>
  <c r="D390" i="16"/>
  <c r="F394" i="16"/>
  <c r="D398" i="16"/>
  <c r="D401" i="16"/>
  <c r="F404" i="16"/>
  <c r="F407" i="16"/>
  <c r="E410" i="16"/>
  <c r="G413" i="16"/>
  <c r="G416" i="16"/>
  <c r="F419" i="16"/>
  <c r="D422" i="16"/>
  <c r="D425" i="16"/>
  <c r="H427" i="16"/>
  <c r="E430" i="16"/>
  <c r="B433" i="16"/>
  <c r="F435" i="16"/>
  <c r="C438" i="16"/>
  <c r="B441" i="16"/>
  <c r="F443" i="16"/>
  <c r="C446" i="16"/>
  <c r="G448" i="16"/>
  <c r="C451" i="16"/>
  <c r="F453" i="16"/>
  <c r="B456" i="16"/>
  <c r="E458" i="16"/>
  <c r="H460" i="16"/>
  <c r="D463" i="16"/>
  <c r="G465" i="16"/>
  <c r="D468" i="16"/>
  <c r="F470" i="16"/>
  <c r="H472" i="16"/>
  <c r="C475" i="16"/>
  <c r="E477" i="16"/>
  <c r="G479" i="16"/>
  <c r="B482" i="16"/>
  <c r="D484" i="16"/>
  <c r="F486" i="16"/>
  <c r="H488" i="16"/>
  <c r="C491" i="16"/>
  <c r="E493" i="16"/>
  <c r="G495" i="16"/>
  <c r="B498" i="16"/>
  <c r="D500" i="16"/>
  <c r="F502" i="16"/>
  <c r="H504" i="16"/>
  <c r="C507" i="16"/>
  <c r="E509" i="16"/>
  <c r="G511" i="16"/>
  <c r="B514" i="16"/>
  <c r="D516" i="16"/>
  <c r="F518" i="16"/>
  <c r="H520" i="16"/>
  <c r="C523" i="16"/>
  <c r="E525" i="16"/>
  <c r="G527" i="16"/>
  <c r="B530" i="16"/>
  <c r="D532" i="16"/>
  <c r="F534" i="16"/>
  <c r="H536" i="16"/>
  <c r="C539" i="16"/>
  <c r="E541" i="16"/>
  <c r="G543" i="16"/>
  <c r="B546" i="16"/>
  <c r="D548" i="16"/>
  <c r="F550" i="16"/>
  <c r="H552" i="16"/>
  <c r="C555" i="16"/>
  <c r="E557" i="16"/>
  <c r="G559" i="16"/>
  <c r="B562" i="16"/>
  <c r="D564" i="16"/>
  <c r="F566" i="16"/>
  <c r="H568" i="16"/>
  <c r="C571" i="16"/>
  <c r="E573" i="16"/>
  <c r="G575" i="16"/>
  <c r="B578" i="16"/>
  <c r="D580" i="16"/>
  <c r="F582" i="16"/>
  <c r="H584" i="16"/>
  <c r="C587" i="16"/>
  <c r="E589" i="16"/>
  <c r="G591" i="16"/>
  <c r="B191" i="16"/>
  <c r="F226" i="16"/>
  <c r="F243" i="16"/>
  <c r="F261" i="16"/>
  <c r="C277" i="16"/>
  <c r="G292" i="16"/>
  <c r="E307" i="16"/>
  <c r="E316" i="16"/>
  <c r="H324" i="16"/>
  <c r="H330" i="16"/>
  <c r="H338" i="16"/>
  <c r="F344" i="16"/>
  <c r="G350" i="16"/>
  <c r="E357" i="16"/>
  <c r="E362" i="16"/>
  <c r="D367" i="16"/>
  <c r="D373" i="16"/>
  <c r="H377" i="16"/>
  <c r="E382" i="16"/>
  <c r="B387" i="16"/>
  <c r="F391" i="16"/>
  <c r="G394" i="16"/>
  <c r="E398" i="16"/>
  <c r="E401" i="16"/>
  <c r="G404" i="16"/>
  <c r="G407" i="16"/>
  <c r="F410" i="16"/>
  <c r="H413" i="16"/>
  <c r="H416" i="16"/>
  <c r="G419" i="16"/>
  <c r="G422" i="16"/>
  <c r="E425" i="16"/>
  <c r="B428" i="16"/>
  <c r="F430" i="16"/>
  <c r="C433" i="16"/>
  <c r="G435" i="16"/>
  <c r="D438" i="16"/>
  <c r="C441" i="16"/>
  <c r="G443" i="16"/>
  <c r="D446" i="16"/>
  <c r="H448" i="16"/>
  <c r="D451" i="16"/>
  <c r="G453" i="16"/>
  <c r="C456" i="16"/>
  <c r="F458" i="16"/>
  <c r="B461" i="16"/>
  <c r="E463" i="16"/>
  <c r="B466" i="16"/>
  <c r="E468" i="16"/>
  <c r="G470" i="16"/>
  <c r="B473" i="16"/>
  <c r="D475" i="16"/>
  <c r="F477" i="16"/>
  <c r="H479" i="16"/>
  <c r="C482" i="16"/>
  <c r="E484" i="16"/>
  <c r="G486" i="16"/>
  <c r="B489" i="16"/>
  <c r="D491" i="16"/>
  <c r="F493" i="16"/>
  <c r="H495" i="16"/>
  <c r="C498" i="16"/>
  <c r="E500" i="16"/>
  <c r="G502" i="16"/>
  <c r="B505" i="16"/>
  <c r="D507" i="16"/>
  <c r="F509" i="16"/>
  <c r="H511" i="16"/>
  <c r="C514" i="16"/>
  <c r="E516" i="16"/>
  <c r="G518" i="16"/>
  <c r="B521" i="16"/>
  <c r="D523" i="16"/>
  <c r="F525" i="16"/>
  <c r="H527" i="16"/>
  <c r="C530" i="16"/>
  <c r="E532" i="16"/>
  <c r="G534" i="16"/>
  <c r="B537" i="16"/>
  <c r="D539" i="16"/>
  <c r="F541" i="16"/>
  <c r="H543" i="16"/>
  <c r="C546" i="16"/>
  <c r="E548" i="16"/>
  <c r="C191" i="16"/>
  <c r="G226" i="16"/>
  <c r="C246" i="16"/>
  <c r="G261" i="16"/>
  <c r="D277" i="16"/>
  <c r="D295" i="16"/>
  <c r="F307" i="16"/>
  <c r="F316" i="16"/>
  <c r="B325" i="16"/>
  <c r="H332" i="16"/>
  <c r="B339" i="16"/>
  <c r="C345" i="16"/>
  <c r="D352" i="16"/>
  <c r="F357" i="16"/>
  <c r="F362" i="16"/>
  <c r="E367" i="16"/>
  <c r="E373" i="16"/>
  <c r="B378" i="16"/>
  <c r="F382" i="16"/>
  <c r="C387" i="16"/>
  <c r="G391" i="16"/>
  <c r="H394" i="16"/>
  <c r="F398" i="16"/>
  <c r="F401" i="16"/>
  <c r="B405" i="16"/>
  <c r="H407" i="16"/>
  <c r="G410" i="16"/>
  <c r="C414" i="16"/>
  <c r="B417" i="16"/>
  <c r="H419" i="16"/>
  <c r="H422" i="16"/>
  <c r="F425" i="16"/>
  <c r="C428" i="16"/>
  <c r="G430" i="16"/>
  <c r="D433" i="16"/>
  <c r="H435" i="16"/>
  <c r="G438" i="16"/>
  <c r="D441" i="16"/>
  <c r="H443" i="16"/>
  <c r="E446" i="16"/>
  <c r="B449" i="16"/>
  <c r="E451" i="16"/>
  <c r="H453" i="16"/>
  <c r="D456" i="16"/>
  <c r="G458" i="16"/>
  <c r="C461" i="16"/>
  <c r="G463" i="16"/>
  <c r="C466" i="16"/>
  <c r="F468" i="16"/>
  <c r="H470" i="16"/>
  <c r="C473" i="16"/>
  <c r="E475" i="16"/>
  <c r="G477" i="16"/>
  <c r="B480" i="16"/>
  <c r="D482" i="16"/>
  <c r="F484" i="16"/>
  <c r="H486" i="16"/>
  <c r="C489" i="16"/>
  <c r="E491" i="16"/>
  <c r="G493" i="16"/>
  <c r="B496" i="16"/>
  <c r="D498" i="16"/>
  <c r="F500" i="16"/>
  <c r="H502" i="16"/>
  <c r="C505" i="16"/>
  <c r="E507" i="16"/>
  <c r="G509" i="16"/>
  <c r="B512" i="16"/>
  <c r="D514" i="16"/>
  <c r="F516" i="16"/>
  <c r="H518" i="16"/>
  <c r="C521" i="16"/>
  <c r="E523" i="16"/>
  <c r="G525" i="16"/>
  <c r="B528" i="16"/>
  <c r="D530" i="16"/>
  <c r="F532" i="16"/>
  <c r="H534" i="16"/>
  <c r="C537" i="16"/>
  <c r="E539" i="16"/>
  <c r="G541" i="16"/>
  <c r="B544" i="16"/>
  <c r="D546" i="16"/>
  <c r="F548" i="16"/>
  <c r="H550" i="16"/>
  <c r="C553" i="16"/>
  <c r="E555" i="16"/>
  <c r="G557" i="16"/>
  <c r="B560" i="16"/>
  <c r="D562" i="16"/>
  <c r="F564" i="16"/>
  <c r="H566" i="16"/>
  <c r="C569" i="16"/>
  <c r="E571" i="16"/>
  <c r="G573" i="16"/>
  <c r="B576" i="16"/>
  <c r="D578" i="16"/>
  <c r="F580" i="16"/>
  <c r="H582" i="16"/>
  <c r="C585" i="16"/>
  <c r="C63" i="16"/>
  <c r="C196" i="16"/>
  <c r="H229" i="16"/>
  <c r="D246" i="16"/>
  <c r="H261" i="16"/>
  <c r="H279" i="16"/>
  <c r="E295" i="16"/>
  <c r="G309" i="16"/>
  <c r="G316" i="16"/>
  <c r="C325" i="16"/>
  <c r="B333" i="16"/>
  <c r="C339" i="16"/>
  <c r="D345" i="16"/>
  <c r="F352" i="16"/>
  <c r="G357" i="16"/>
  <c r="G362" i="16"/>
  <c r="G368" i="16"/>
  <c r="F373" i="16"/>
  <c r="C378" i="16"/>
  <c r="G382" i="16"/>
  <c r="D387" i="16"/>
  <c r="H391" i="16"/>
  <c r="E395" i="16"/>
  <c r="G398" i="16"/>
  <c r="G401" i="16"/>
  <c r="C405" i="16"/>
  <c r="B408" i="16"/>
  <c r="H410" i="16"/>
  <c r="D414" i="16"/>
  <c r="C417" i="16"/>
  <c r="B420" i="16"/>
  <c r="B423" i="16"/>
  <c r="G425" i="16"/>
  <c r="D428" i="16"/>
  <c r="H430" i="16"/>
  <c r="E433" i="16"/>
  <c r="B436" i="16"/>
  <c r="H438" i="16"/>
  <c r="E441" i="16"/>
  <c r="B444" i="16"/>
  <c r="F446" i="16"/>
  <c r="C449" i="16"/>
  <c r="F451" i="16"/>
  <c r="B454" i="16"/>
  <c r="E456" i="16"/>
  <c r="H458" i="16"/>
  <c r="E461" i="16"/>
  <c r="H463" i="16"/>
  <c r="D466" i="16"/>
  <c r="G468" i="16"/>
  <c r="B471" i="16"/>
  <c r="D473" i="16"/>
  <c r="F475" i="16"/>
  <c r="H477" i="16"/>
  <c r="C480" i="16"/>
  <c r="E482" i="16"/>
  <c r="G484" i="16"/>
  <c r="B487" i="16"/>
  <c r="D489" i="16"/>
  <c r="F491" i="16"/>
  <c r="H493" i="16"/>
  <c r="C496" i="16"/>
  <c r="E498" i="16"/>
  <c r="G500" i="16"/>
  <c r="B503" i="16"/>
  <c r="D505" i="16"/>
  <c r="F507" i="16"/>
  <c r="H509" i="16"/>
  <c r="C512" i="16"/>
  <c r="E514" i="16"/>
  <c r="G516" i="16"/>
  <c r="B519" i="16"/>
  <c r="D521" i="16"/>
  <c r="F523" i="16"/>
  <c r="H525" i="16"/>
  <c r="C528" i="16"/>
  <c r="E530" i="16"/>
  <c r="G532" i="16"/>
  <c r="B535" i="16"/>
  <c r="D537" i="16"/>
  <c r="F539" i="16"/>
  <c r="H541" i="16"/>
  <c r="C544" i="16"/>
  <c r="E546" i="16"/>
  <c r="G548" i="16"/>
  <c r="B551" i="16"/>
  <c r="F63" i="16"/>
  <c r="D196" i="16"/>
  <c r="B230" i="16"/>
  <c r="B247" i="16"/>
  <c r="E264" i="16"/>
  <c r="B280" i="16"/>
  <c r="F295" i="16"/>
  <c r="B310" i="16"/>
  <c r="H318" i="16"/>
  <c r="D325" i="16"/>
  <c r="C333" i="16"/>
  <c r="D339" i="16"/>
  <c r="F346" i="16"/>
  <c r="G352" i="16"/>
  <c r="H357" i="16"/>
  <c r="H362" i="16"/>
  <c r="B369" i="16"/>
  <c r="G373" i="16"/>
  <c r="D378" i="16"/>
  <c r="H382" i="16"/>
  <c r="E387" i="16"/>
  <c r="B392" i="16"/>
  <c r="F395" i="16"/>
  <c r="H398" i="16"/>
  <c r="D402" i="16"/>
  <c r="D405" i="16"/>
  <c r="C408" i="16"/>
  <c r="E411" i="16"/>
  <c r="E414" i="16"/>
  <c r="D417" i="16"/>
  <c r="E420" i="16"/>
  <c r="D423" i="16"/>
  <c r="H425" i="16"/>
  <c r="E428" i="16"/>
  <c r="B431" i="16"/>
  <c r="F433" i="16"/>
  <c r="E436" i="16"/>
  <c r="B439" i="16"/>
  <c r="F441" i="16"/>
  <c r="C444" i="16"/>
  <c r="G446" i="16"/>
  <c r="D449" i="16"/>
  <c r="G451" i="16"/>
  <c r="C454" i="16"/>
  <c r="F456" i="16"/>
  <c r="C459" i="16"/>
  <c r="F461" i="16"/>
  <c r="B464" i="16"/>
  <c r="E466" i="16"/>
  <c r="H468" i="16"/>
  <c r="C471" i="16"/>
  <c r="E473" i="16"/>
  <c r="G475" i="16"/>
  <c r="B478" i="16"/>
  <c r="D480" i="16"/>
  <c r="F482" i="16"/>
  <c r="H484" i="16"/>
  <c r="C487" i="16"/>
  <c r="F91" i="16"/>
  <c r="B201" i="16"/>
  <c r="C230" i="16"/>
  <c r="F249" i="16"/>
  <c r="F264" i="16"/>
  <c r="C280" i="16"/>
  <c r="C298" i="16"/>
  <c r="C310" i="16"/>
  <c r="B319" i="16"/>
  <c r="E325" i="16"/>
  <c r="G333" i="16"/>
  <c r="E339" i="16"/>
  <c r="H346" i="16"/>
  <c r="H352" i="16"/>
  <c r="B358" i="16"/>
  <c r="C364" i="16"/>
  <c r="C369" i="16"/>
  <c r="H373" i="16"/>
  <c r="E378" i="16"/>
  <c r="B383" i="16"/>
  <c r="F387" i="16"/>
  <c r="C392" i="16"/>
  <c r="B396" i="16"/>
  <c r="B399" i="16"/>
  <c r="E402" i="16"/>
  <c r="E405" i="16"/>
  <c r="D408" i="16"/>
  <c r="F411" i="16"/>
  <c r="F414" i="16"/>
  <c r="E417" i="16"/>
  <c r="F420" i="16"/>
  <c r="E423" i="16"/>
  <c r="B426" i="16"/>
  <c r="F428" i="16"/>
  <c r="C431" i="16"/>
  <c r="G433" i="16"/>
  <c r="F436" i="16"/>
  <c r="C439" i="16"/>
  <c r="G441" i="16"/>
  <c r="D444" i="16"/>
  <c r="H446" i="16"/>
  <c r="E449" i="16"/>
  <c r="H451" i="16"/>
  <c r="D454" i="16"/>
  <c r="H456" i="16"/>
  <c r="D459" i="16"/>
  <c r="G461" i="16"/>
  <c r="C464" i="16"/>
  <c r="F466" i="16"/>
  <c r="B469" i="16"/>
  <c r="D471" i="16"/>
  <c r="F473" i="16"/>
  <c r="H475" i="16"/>
  <c r="C478" i="16"/>
  <c r="E480" i="16"/>
  <c r="G482" i="16"/>
  <c r="B485" i="16"/>
  <c r="D487" i="16"/>
  <c r="F489" i="16"/>
  <c r="H491" i="16"/>
  <c r="C494" i="16"/>
  <c r="E496" i="16"/>
  <c r="G498" i="16"/>
  <c r="B501" i="16"/>
  <c r="D503" i="16"/>
  <c r="F505" i="16"/>
  <c r="H507" i="16"/>
  <c r="C510" i="16"/>
  <c r="E512" i="16"/>
  <c r="G514" i="16"/>
  <c r="B517" i="16"/>
  <c r="G91" i="16"/>
  <c r="D201" i="16"/>
  <c r="G233" i="16"/>
  <c r="G249" i="16"/>
  <c r="D265" i="16"/>
  <c r="G282" i="16"/>
  <c r="D298" i="16"/>
  <c r="D310" i="16"/>
  <c r="C319" i="16"/>
  <c r="E327" i="16"/>
  <c r="H333" i="16"/>
  <c r="C341" i="16"/>
  <c r="E347" i="16"/>
  <c r="B353" i="16"/>
  <c r="C358" i="16"/>
  <c r="E364" i="16"/>
  <c r="D369" i="16"/>
  <c r="B374" i="16"/>
  <c r="F378" i="16"/>
  <c r="C383" i="16"/>
  <c r="G387" i="16"/>
  <c r="D392" i="16"/>
  <c r="C396" i="16"/>
  <c r="C399" i="16"/>
  <c r="G402" i="16"/>
  <c r="F405" i="16"/>
  <c r="E408" i="16"/>
  <c r="H411" i="16"/>
  <c r="G414" i="16"/>
  <c r="F417" i="16"/>
  <c r="G420" i="16"/>
  <c r="F423" i="16"/>
  <c r="C426" i="16"/>
  <c r="G428" i="16"/>
  <c r="D431" i="16"/>
  <c r="C434" i="16"/>
  <c r="G436" i="16"/>
  <c r="D439" i="16"/>
  <c r="H441" i="16"/>
  <c r="E444" i="16"/>
  <c r="B447" i="16"/>
  <c r="F449" i="16"/>
  <c r="B452" i="16"/>
  <c r="F454" i="16"/>
  <c r="B457" i="16"/>
  <c r="E459" i="16"/>
  <c r="H461" i="16"/>
  <c r="D464" i="16"/>
  <c r="G466" i="16"/>
  <c r="C469" i="16"/>
  <c r="E471" i="16"/>
  <c r="G473" i="16"/>
  <c r="B476" i="16"/>
  <c r="D478" i="16"/>
  <c r="F480" i="16"/>
  <c r="H482" i="16"/>
  <c r="C485" i="16"/>
  <c r="E487" i="16"/>
  <c r="G489" i="16"/>
  <c r="B492" i="16"/>
  <c r="D494" i="16"/>
  <c r="F496" i="16"/>
  <c r="H498" i="16"/>
  <c r="C501" i="16"/>
  <c r="E503" i="16"/>
  <c r="G505" i="16"/>
  <c r="B123" i="16"/>
  <c r="D123" i="16" s="1"/>
  <c r="H205" i="16"/>
  <c r="H233" i="16"/>
  <c r="H249" i="16"/>
  <c r="H267" i="16"/>
  <c r="H282" i="16"/>
  <c r="E298" i="16"/>
  <c r="B311" i="16"/>
  <c r="D319" i="16"/>
  <c r="F327" i="16"/>
  <c r="B334" i="16"/>
  <c r="E341" i="16"/>
  <c r="F347" i="16"/>
  <c r="C353" i="16"/>
  <c r="F359" i="16"/>
  <c r="F364" i="16"/>
  <c r="E369" i="16"/>
  <c r="C374" i="16"/>
  <c r="G378" i="16"/>
  <c r="D383" i="16"/>
  <c r="H387" i="16"/>
  <c r="E392" i="16"/>
  <c r="D396" i="16"/>
  <c r="D399" i="16"/>
  <c r="H402" i="16"/>
  <c r="G405" i="16"/>
  <c r="F408" i="16"/>
  <c r="B412" i="16"/>
  <c r="H414" i="16"/>
  <c r="G417" i="16"/>
  <c r="B421" i="16"/>
  <c r="G423" i="16"/>
  <c r="D426" i="16"/>
  <c r="H428" i="16"/>
  <c r="E431" i="16"/>
  <c r="D434" i="16"/>
  <c r="H436" i="16"/>
  <c r="E439" i="16"/>
  <c r="B442" i="16"/>
  <c r="F444" i="16"/>
  <c r="C123" i="16"/>
  <c r="B206" i="16"/>
  <c r="B234" i="16"/>
  <c r="E252" i="16"/>
  <c r="B268" i="16"/>
  <c r="F283" i="16"/>
  <c r="B301" i="16"/>
  <c r="F312" i="16"/>
  <c r="E319" i="16"/>
  <c r="G327" i="16"/>
  <c r="D335" i="16"/>
  <c r="F341" i="16"/>
  <c r="G347" i="16"/>
  <c r="D353" i="16"/>
  <c r="H359" i="16"/>
  <c r="G364" i="16"/>
  <c r="F369" i="16"/>
  <c r="D374" i="16"/>
  <c r="H378" i="16"/>
  <c r="E383" i="16"/>
  <c r="B388" i="16"/>
  <c r="F392" i="16"/>
  <c r="E396" i="16"/>
  <c r="E399" i="16"/>
  <c r="B403" i="16"/>
  <c r="H405" i="16"/>
  <c r="C409" i="16"/>
  <c r="C412" i="16"/>
  <c r="B415" i="16"/>
  <c r="D418" i="16"/>
  <c r="C421" i="16"/>
  <c r="H423" i="16"/>
  <c r="E426" i="16"/>
  <c r="B429" i="16"/>
  <c r="H431" i="16"/>
  <c r="E434" i="16"/>
  <c r="B437" i="16"/>
  <c r="F439" i="16"/>
  <c r="C442" i="16"/>
  <c r="G444" i="16"/>
  <c r="D447" i="16"/>
  <c r="B450" i="16"/>
  <c r="E452" i="16"/>
  <c r="B146" i="16"/>
  <c r="D146" i="16" s="1"/>
  <c r="G210" i="16"/>
  <c r="G236" i="16"/>
  <c r="F252" i="16"/>
  <c r="C268" i="16"/>
  <c r="C286" i="16"/>
  <c r="C301" i="16"/>
  <c r="D313" i="16"/>
  <c r="B320" i="16"/>
  <c r="H327" i="16"/>
  <c r="B336" i="16"/>
  <c r="G341" i="16"/>
  <c r="H347" i="16"/>
  <c r="G354" i="16"/>
  <c r="B360" i="16"/>
  <c r="H364" i="16"/>
  <c r="G369" i="16"/>
  <c r="F375" i="16"/>
  <c r="C380" i="16"/>
  <c r="G384" i="16"/>
  <c r="D389" i="16"/>
  <c r="D393" i="16"/>
  <c r="F396" i="16"/>
  <c r="B400" i="16"/>
  <c r="C403" i="16"/>
  <c r="B406" i="16"/>
  <c r="D409" i="16"/>
  <c r="D412" i="16"/>
  <c r="C415" i="16"/>
  <c r="E418" i="16"/>
  <c r="D421" i="16"/>
  <c r="B424" i="16"/>
  <c r="F426" i="16"/>
  <c r="C429" i="16"/>
  <c r="B432" i="16"/>
  <c r="F434" i="16"/>
  <c r="C437" i="16"/>
  <c r="G439" i="16"/>
  <c r="D442" i="16"/>
  <c r="H444" i="16"/>
  <c r="E447" i="16"/>
  <c r="C450" i="16"/>
  <c r="F452" i="16"/>
  <c r="B164" i="16"/>
  <c r="H214" i="16"/>
  <c r="E240" i="16"/>
  <c r="E255" i="16"/>
  <c r="B271" i="16"/>
  <c r="B289" i="16"/>
  <c r="E304" i="16"/>
  <c r="G313" i="16"/>
  <c r="D322" i="16"/>
  <c r="C330" i="16"/>
  <c r="E336" i="16"/>
  <c r="C342" i="16"/>
  <c r="B350" i="16"/>
  <c r="D355" i="16"/>
  <c r="E360" i="16"/>
  <c r="E366" i="16"/>
  <c r="E371" i="16"/>
  <c r="B376" i="16"/>
  <c r="F380" i="16"/>
  <c r="C385" i="16"/>
  <c r="G389" i="16"/>
  <c r="B394" i="16"/>
  <c r="B397" i="16"/>
  <c r="G400" i="16"/>
  <c r="F403" i="16"/>
  <c r="H406" i="16"/>
  <c r="H409" i="16"/>
  <c r="G412" i="16"/>
  <c r="B416" i="16"/>
  <c r="B419" i="16"/>
  <c r="G421" i="16"/>
  <c r="E424" i="16"/>
  <c r="D427" i="16"/>
  <c r="H429" i="16"/>
  <c r="G252" i="16"/>
  <c r="H341" i="16"/>
  <c r="H384" i="16"/>
  <c r="E412" i="16"/>
  <c r="E432" i="16"/>
  <c r="C447" i="16"/>
  <c r="D455" i="16"/>
  <c r="D462" i="16"/>
  <c r="D469" i="16"/>
  <c r="E474" i="16"/>
  <c r="B481" i="16"/>
  <c r="F487" i="16"/>
  <c r="E492" i="16"/>
  <c r="D497" i="16"/>
  <c r="C503" i="16"/>
  <c r="C508" i="16"/>
  <c r="G512" i="16"/>
  <c r="D517" i="16"/>
  <c r="F521" i="16"/>
  <c r="H524" i="16"/>
  <c r="C529" i="16"/>
  <c r="E533" i="16"/>
  <c r="G537" i="16"/>
  <c r="B542" i="16"/>
  <c r="D545" i="16"/>
  <c r="F549" i="16"/>
  <c r="E553" i="16"/>
  <c r="E556" i="16"/>
  <c r="C560" i="16"/>
  <c r="C563" i="16"/>
  <c r="G566" i="16"/>
  <c r="H569" i="16"/>
  <c r="H572" i="16"/>
  <c r="F576" i="16"/>
  <c r="F579" i="16"/>
  <c r="D583" i="16"/>
  <c r="D586" i="16"/>
  <c r="G589" i="16"/>
  <c r="F592" i="16"/>
  <c r="D595" i="16"/>
  <c r="H597" i="16"/>
  <c r="G600" i="16"/>
  <c r="D603" i="16"/>
  <c r="H605" i="16"/>
  <c r="E608" i="16"/>
  <c r="B611" i="16"/>
  <c r="D613" i="16"/>
  <c r="F615" i="16"/>
  <c r="H617" i="16"/>
  <c r="C620" i="16"/>
  <c r="E622" i="16"/>
  <c r="G624" i="16"/>
  <c r="B627" i="16"/>
  <c r="D629" i="16"/>
  <c r="F631" i="16"/>
  <c r="H633" i="16"/>
  <c r="C636" i="16"/>
  <c r="E638" i="16"/>
  <c r="G640" i="16"/>
  <c r="B643" i="16"/>
  <c r="D645" i="16"/>
  <c r="F647" i="16"/>
  <c r="H649" i="16"/>
  <c r="C652" i="16"/>
  <c r="E654" i="16"/>
  <c r="G656" i="16"/>
  <c r="B659" i="16"/>
  <c r="D661" i="16"/>
  <c r="F663" i="16"/>
  <c r="H665" i="16"/>
  <c r="C668" i="16"/>
  <c r="E670" i="16"/>
  <c r="G672" i="16"/>
  <c r="B675" i="16"/>
  <c r="D677" i="16"/>
  <c r="F679" i="16"/>
  <c r="H681" i="16"/>
  <c r="C684" i="16"/>
  <c r="E686" i="16"/>
  <c r="G688" i="16"/>
  <c r="B691" i="16"/>
  <c r="D693" i="16"/>
  <c r="F695" i="16"/>
  <c r="H697" i="16"/>
  <c r="C700" i="16"/>
  <c r="E702" i="16"/>
  <c r="G704" i="16"/>
  <c r="B707" i="16"/>
  <c r="D709" i="16"/>
  <c r="F711" i="16"/>
  <c r="H713" i="16"/>
  <c r="C716" i="16"/>
  <c r="E718" i="16"/>
  <c r="G720" i="16"/>
  <c r="B723" i="16"/>
  <c r="D725" i="16"/>
  <c r="F727" i="16"/>
  <c r="H729" i="16"/>
  <c r="C732" i="16"/>
  <c r="E734" i="16"/>
  <c r="G736" i="16"/>
  <c r="B739" i="16"/>
  <c r="D741" i="16"/>
  <c r="F743" i="16"/>
  <c r="H745" i="16"/>
  <c r="C748" i="16"/>
  <c r="E750" i="16"/>
  <c r="G752" i="16"/>
  <c r="B755" i="16"/>
  <c r="D757" i="16"/>
  <c r="F759" i="16"/>
  <c r="H761" i="16"/>
  <c r="C764" i="16"/>
  <c r="E766" i="16"/>
  <c r="G768" i="16"/>
  <c r="B771" i="16"/>
  <c r="D773" i="16"/>
  <c r="F775" i="16"/>
  <c r="H777" i="16"/>
  <c r="C780" i="16"/>
  <c r="E782" i="16"/>
  <c r="G784" i="16"/>
  <c r="B787" i="16"/>
  <c r="D789" i="16"/>
  <c r="F791" i="16"/>
  <c r="H793" i="16"/>
  <c r="C796" i="16"/>
  <c r="E798" i="16"/>
  <c r="G800" i="16"/>
  <c r="B803" i="16"/>
  <c r="D255" i="16"/>
  <c r="B342" i="16"/>
  <c r="B385" i="16"/>
  <c r="F412" i="16"/>
  <c r="G434" i="16"/>
  <c r="H447" i="16"/>
  <c r="E455" i="16"/>
  <c r="E462" i="16"/>
  <c r="E469" i="16"/>
  <c r="F474" i="16"/>
  <c r="C481" i="16"/>
  <c r="G487" i="16"/>
  <c r="F492" i="16"/>
  <c r="E497" i="16"/>
  <c r="F503" i="16"/>
  <c r="D508" i="16"/>
  <c r="H512" i="16"/>
  <c r="E517" i="16"/>
  <c r="G521" i="16"/>
  <c r="B526" i="16"/>
  <c r="D529" i="16"/>
  <c r="F533" i="16"/>
  <c r="H537" i="16"/>
  <c r="C542" i="16"/>
  <c r="E545" i="16"/>
  <c r="G549" i="16"/>
  <c r="F553" i="16"/>
  <c r="F556" i="16"/>
  <c r="D560" i="16"/>
  <c r="D563" i="16"/>
  <c r="B567" i="16"/>
  <c r="B570" i="16"/>
  <c r="F573" i="16"/>
  <c r="G576" i="16"/>
  <c r="G579" i="16"/>
  <c r="E583" i="16"/>
  <c r="E586" i="16"/>
  <c r="H589" i="16"/>
  <c r="G592" i="16"/>
  <c r="E595" i="16"/>
  <c r="B598" i="16"/>
  <c r="H600" i="16"/>
  <c r="E603" i="16"/>
  <c r="B606" i="16"/>
  <c r="F608" i="16"/>
  <c r="C611" i="16"/>
  <c r="E613" i="16"/>
  <c r="G615" i="16"/>
  <c r="B618" i="16"/>
  <c r="D620" i="16"/>
  <c r="F622" i="16"/>
  <c r="H624" i="16"/>
  <c r="C627" i="16"/>
  <c r="E629" i="16"/>
  <c r="G631" i="16"/>
  <c r="B634" i="16"/>
  <c r="D636" i="16"/>
  <c r="F638" i="16"/>
  <c r="H640" i="16"/>
  <c r="C643" i="16"/>
  <c r="E645" i="16"/>
  <c r="G647" i="16"/>
  <c r="B650" i="16"/>
  <c r="D652" i="16"/>
  <c r="F654" i="16"/>
  <c r="H656" i="16"/>
  <c r="C659" i="16"/>
  <c r="E661" i="16"/>
  <c r="G663" i="16"/>
  <c r="B666" i="16"/>
  <c r="D668" i="16"/>
  <c r="F670" i="16"/>
  <c r="H672" i="16"/>
  <c r="C675" i="16"/>
  <c r="E677" i="16"/>
  <c r="G679" i="16"/>
  <c r="B682" i="16"/>
  <c r="D684" i="16"/>
  <c r="F686" i="16"/>
  <c r="H688" i="16"/>
  <c r="C691" i="16"/>
  <c r="E693" i="16"/>
  <c r="G695" i="16"/>
  <c r="B698" i="16"/>
  <c r="D700" i="16"/>
  <c r="F702" i="16"/>
  <c r="H704" i="16"/>
  <c r="C707" i="16"/>
  <c r="E709" i="16"/>
  <c r="G711" i="16"/>
  <c r="B714" i="16"/>
  <c r="D716" i="16"/>
  <c r="F718" i="16"/>
  <c r="H720" i="16"/>
  <c r="C723" i="16"/>
  <c r="E725" i="16"/>
  <c r="G727" i="16"/>
  <c r="B730" i="16"/>
  <c r="D732" i="16"/>
  <c r="F734" i="16"/>
  <c r="H736" i="16"/>
  <c r="C739" i="16"/>
  <c r="E741" i="16"/>
  <c r="G743" i="16"/>
  <c r="B746" i="16"/>
  <c r="D748" i="16"/>
  <c r="F750" i="16"/>
  <c r="H752" i="16"/>
  <c r="C755" i="16"/>
  <c r="E757" i="16"/>
  <c r="G759" i="16"/>
  <c r="B762" i="16"/>
  <c r="D764" i="16"/>
  <c r="F766" i="16"/>
  <c r="H768" i="16"/>
  <c r="C771" i="16"/>
  <c r="E773" i="16"/>
  <c r="G775" i="16"/>
  <c r="B778" i="16"/>
  <c r="D780" i="16"/>
  <c r="F782" i="16"/>
  <c r="H784" i="16"/>
  <c r="C787" i="16"/>
  <c r="E789" i="16"/>
  <c r="G791" i="16"/>
  <c r="B794" i="16"/>
  <c r="D796" i="16"/>
  <c r="F798" i="16"/>
  <c r="H800" i="16"/>
  <c r="C803" i="16"/>
  <c r="G270" i="16"/>
  <c r="B348" i="16"/>
  <c r="E389" i="16"/>
  <c r="D415" i="16"/>
  <c r="H434" i="16"/>
  <c r="B448" i="16"/>
  <c r="C457" i="16"/>
  <c r="F462" i="16"/>
  <c r="F469" i="16"/>
  <c r="C476" i="16"/>
  <c r="D481" i="16"/>
  <c r="H487" i="16"/>
  <c r="G492" i="16"/>
  <c r="F498" i="16"/>
  <c r="G503" i="16"/>
  <c r="E508" i="16"/>
  <c r="B513" i="16"/>
  <c r="F517" i="16"/>
  <c r="H521" i="16"/>
  <c r="C526" i="16"/>
  <c r="E529" i="16"/>
  <c r="G533" i="16"/>
  <c r="B538" i="16"/>
  <c r="D542" i="16"/>
  <c r="F546" i="16"/>
  <c r="H549" i="16"/>
  <c r="G553" i="16"/>
  <c r="G556" i="16"/>
  <c r="E560" i="16"/>
  <c r="E563" i="16"/>
  <c r="C567" i="16"/>
  <c r="C570" i="16"/>
  <c r="H573" i="16"/>
  <c r="H576" i="16"/>
  <c r="E580" i="16"/>
  <c r="F583" i="16"/>
  <c r="F586" i="16"/>
  <c r="B590" i="16"/>
  <c r="H592" i="16"/>
  <c r="F595" i="16"/>
  <c r="E598" i="16"/>
  <c r="B601" i="16"/>
  <c r="F603" i="16"/>
  <c r="C606" i="16"/>
  <c r="G608" i="16"/>
  <c r="D611" i="16"/>
  <c r="F613" i="16"/>
  <c r="H615" i="16"/>
  <c r="C618" i="16"/>
  <c r="E620" i="16"/>
  <c r="G622" i="16"/>
  <c r="B625" i="16"/>
  <c r="D627" i="16"/>
  <c r="F629" i="16"/>
  <c r="H631" i="16"/>
  <c r="C634" i="16"/>
  <c r="E636" i="16"/>
  <c r="G638" i="16"/>
  <c r="B641" i="16"/>
  <c r="D643" i="16"/>
  <c r="F645" i="16"/>
  <c r="H647" i="16"/>
  <c r="C650" i="16"/>
  <c r="E652" i="16"/>
  <c r="G654" i="16"/>
  <c r="B657" i="16"/>
  <c r="D659" i="16"/>
  <c r="F661" i="16"/>
  <c r="H663" i="16"/>
  <c r="C666" i="16"/>
  <c r="E668" i="16"/>
  <c r="G670" i="16"/>
  <c r="B673" i="16"/>
  <c r="D675" i="16"/>
  <c r="F677" i="16"/>
  <c r="H679" i="16"/>
  <c r="C682" i="16"/>
  <c r="E684" i="16"/>
  <c r="G686" i="16"/>
  <c r="B689" i="16"/>
  <c r="D691" i="16"/>
  <c r="F693" i="16"/>
  <c r="H695" i="16"/>
  <c r="C698" i="16"/>
  <c r="E700" i="16"/>
  <c r="G702" i="16"/>
  <c r="B705" i="16"/>
  <c r="D707" i="16"/>
  <c r="F709" i="16"/>
  <c r="H711" i="16"/>
  <c r="C714" i="16"/>
  <c r="E716" i="16"/>
  <c r="G718" i="16"/>
  <c r="B721" i="16"/>
  <c r="D723" i="16"/>
  <c r="F725" i="16"/>
  <c r="H727" i="16"/>
  <c r="C730" i="16"/>
  <c r="E732" i="16"/>
  <c r="G734" i="16"/>
  <c r="B737" i="16"/>
  <c r="D739" i="16"/>
  <c r="F741" i="16"/>
  <c r="H743" i="16"/>
  <c r="C746" i="16"/>
  <c r="E748" i="16"/>
  <c r="G750" i="16"/>
  <c r="B753" i="16"/>
  <c r="D755" i="16"/>
  <c r="F757" i="16"/>
  <c r="H759" i="16"/>
  <c r="C762" i="16"/>
  <c r="E764" i="16"/>
  <c r="G766" i="16"/>
  <c r="B769" i="16"/>
  <c r="D771" i="16"/>
  <c r="F773" i="16"/>
  <c r="H775" i="16"/>
  <c r="C778" i="16"/>
  <c r="E780" i="16"/>
  <c r="G782" i="16"/>
  <c r="B785" i="16"/>
  <c r="D787" i="16"/>
  <c r="F789" i="16"/>
  <c r="H791" i="16"/>
  <c r="C794" i="16"/>
  <c r="H270" i="16"/>
  <c r="G349" i="16"/>
  <c r="F389" i="16"/>
  <c r="E415" i="16"/>
  <c r="B435" i="16"/>
  <c r="C448" i="16"/>
  <c r="D457" i="16"/>
  <c r="G462" i="16"/>
  <c r="G469" i="16"/>
  <c r="D476" i="16"/>
  <c r="E481" i="16"/>
  <c r="B488" i="16"/>
  <c r="H492" i="16"/>
  <c r="B499" i="16"/>
  <c r="H503" i="16"/>
  <c r="F508" i="16"/>
  <c r="C513" i="16"/>
  <c r="G517" i="16"/>
  <c r="B522" i="16"/>
  <c r="D526" i="16"/>
  <c r="F530" i="16"/>
  <c r="H533" i="16"/>
  <c r="C538" i="16"/>
  <c r="E542" i="16"/>
  <c r="G546" i="16"/>
  <c r="B550" i="16"/>
  <c r="H553" i="16"/>
  <c r="H556" i="16"/>
  <c r="F560" i="16"/>
  <c r="F563" i="16"/>
  <c r="D567" i="16"/>
  <c r="D570" i="16"/>
  <c r="B574" i="16"/>
  <c r="B577" i="16"/>
  <c r="G580" i="16"/>
  <c r="G583" i="16"/>
  <c r="D587" i="16"/>
  <c r="C590" i="16"/>
  <c r="B593" i="16"/>
  <c r="G595" i="16"/>
  <c r="F598" i="16"/>
  <c r="C601" i="16"/>
  <c r="G603" i="16"/>
  <c r="D606" i="16"/>
  <c r="H608" i="16"/>
  <c r="E611" i="16"/>
  <c r="G613" i="16"/>
  <c r="B616" i="16"/>
  <c r="D618" i="16"/>
  <c r="F620" i="16"/>
  <c r="H622" i="16"/>
  <c r="C625" i="16"/>
  <c r="E627" i="16"/>
  <c r="G629" i="16"/>
  <c r="B632" i="16"/>
  <c r="D634" i="16"/>
  <c r="F636" i="16"/>
  <c r="H638" i="16"/>
  <c r="C641" i="16"/>
  <c r="E643" i="16"/>
  <c r="G645" i="16"/>
  <c r="B648" i="16"/>
  <c r="D650" i="16"/>
  <c r="F652" i="16"/>
  <c r="H654" i="16"/>
  <c r="C657" i="16"/>
  <c r="E659" i="16"/>
  <c r="G661" i="16"/>
  <c r="B664" i="16"/>
  <c r="D666" i="16"/>
  <c r="F668" i="16"/>
  <c r="H670" i="16"/>
  <c r="C673" i="16"/>
  <c r="E675" i="16"/>
  <c r="G677" i="16"/>
  <c r="B680" i="16"/>
  <c r="D682" i="16"/>
  <c r="F684" i="16"/>
  <c r="H686" i="16"/>
  <c r="C689" i="16"/>
  <c r="E691" i="16"/>
  <c r="G693" i="16"/>
  <c r="B696" i="16"/>
  <c r="D698" i="16"/>
  <c r="F700" i="16"/>
  <c r="H702" i="16"/>
  <c r="C705" i="16"/>
  <c r="E707" i="16"/>
  <c r="G709" i="16"/>
  <c r="B712" i="16"/>
  <c r="D714" i="16"/>
  <c r="F716" i="16"/>
  <c r="H718" i="16"/>
  <c r="C721" i="16"/>
  <c r="E723" i="16"/>
  <c r="G725" i="16"/>
  <c r="B728" i="16"/>
  <c r="D730" i="16"/>
  <c r="F732" i="16"/>
  <c r="H734" i="16"/>
  <c r="C737" i="16"/>
  <c r="E739" i="16"/>
  <c r="G741" i="16"/>
  <c r="B744" i="16"/>
  <c r="D746" i="16"/>
  <c r="F748" i="16"/>
  <c r="H750" i="16"/>
  <c r="C753" i="16"/>
  <c r="E755" i="16"/>
  <c r="G757" i="16"/>
  <c r="B760" i="16"/>
  <c r="D762" i="16"/>
  <c r="F764" i="16"/>
  <c r="H766" i="16"/>
  <c r="C769" i="16"/>
  <c r="E771" i="16"/>
  <c r="G773" i="16"/>
  <c r="B776" i="16"/>
  <c r="D778" i="16"/>
  <c r="F780" i="16"/>
  <c r="D286" i="16"/>
  <c r="B355" i="16"/>
  <c r="G393" i="16"/>
  <c r="G418" i="16"/>
  <c r="D437" i="16"/>
  <c r="G449" i="16"/>
  <c r="E457" i="16"/>
  <c r="E464" i="16"/>
  <c r="H469" i="16"/>
  <c r="E476" i="16"/>
  <c r="B483" i="16"/>
  <c r="C488" i="16"/>
  <c r="B494" i="16"/>
  <c r="C499" i="16"/>
  <c r="B504" i="16"/>
  <c r="G508" i="16"/>
  <c r="D513" i="16"/>
  <c r="H517" i="16"/>
  <c r="C522" i="16"/>
  <c r="E526" i="16"/>
  <c r="G530" i="16"/>
  <c r="B534" i="16"/>
  <c r="D538" i="16"/>
  <c r="F542" i="16"/>
  <c r="H546" i="16"/>
  <c r="G550" i="16"/>
  <c r="B554" i="16"/>
  <c r="F557" i="16"/>
  <c r="G560" i="16"/>
  <c r="G563" i="16"/>
  <c r="E567" i="16"/>
  <c r="E570" i="16"/>
  <c r="C574" i="16"/>
  <c r="C577" i="16"/>
  <c r="H580" i="16"/>
  <c r="H583" i="16"/>
  <c r="E587" i="16"/>
  <c r="D590" i="16"/>
  <c r="C593" i="16"/>
  <c r="C596" i="16"/>
  <c r="G598" i="16"/>
  <c r="D601" i="16"/>
  <c r="H603" i="16"/>
  <c r="E606" i="16"/>
  <c r="B609" i="16"/>
  <c r="F611" i="16"/>
  <c r="H613" i="16"/>
  <c r="C616" i="16"/>
  <c r="E618" i="16"/>
  <c r="G620" i="16"/>
  <c r="B623" i="16"/>
  <c r="D625" i="16"/>
  <c r="F627" i="16"/>
  <c r="H629" i="16"/>
  <c r="C632" i="16"/>
  <c r="E634" i="16"/>
  <c r="G636" i="16"/>
  <c r="B639" i="16"/>
  <c r="D641" i="16"/>
  <c r="F643" i="16"/>
  <c r="H645" i="16"/>
  <c r="C648" i="16"/>
  <c r="E650" i="16"/>
  <c r="G652" i="16"/>
  <c r="B655" i="16"/>
  <c r="D657" i="16"/>
  <c r="F659" i="16"/>
  <c r="H661" i="16"/>
  <c r="C664" i="16"/>
  <c r="E666" i="16"/>
  <c r="G668" i="16"/>
  <c r="B671" i="16"/>
  <c r="D673" i="16"/>
  <c r="F675" i="16"/>
  <c r="H677" i="16"/>
  <c r="C680" i="16"/>
  <c r="E682" i="16"/>
  <c r="G684" i="16"/>
  <c r="B687" i="16"/>
  <c r="D689" i="16"/>
  <c r="F691" i="16"/>
  <c r="H693" i="16"/>
  <c r="C696" i="16"/>
  <c r="E698" i="16"/>
  <c r="G700" i="16"/>
  <c r="B703" i="16"/>
  <c r="D705" i="16"/>
  <c r="F707" i="16"/>
  <c r="H709" i="16"/>
  <c r="C712" i="16"/>
  <c r="E714" i="16"/>
  <c r="G716" i="16"/>
  <c r="B719" i="16"/>
  <c r="D721" i="16"/>
  <c r="F723" i="16"/>
  <c r="H725" i="16"/>
  <c r="C728" i="16"/>
  <c r="E730" i="16"/>
  <c r="G732" i="16"/>
  <c r="B735" i="16"/>
  <c r="D737" i="16"/>
  <c r="F739" i="16"/>
  <c r="H741" i="16"/>
  <c r="C744" i="16"/>
  <c r="E746" i="16"/>
  <c r="G748" i="16"/>
  <c r="B751" i="16"/>
  <c r="D753" i="16"/>
  <c r="F755" i="16"/>
  <c r="H757" i="16"/>
  <c r="E286" i="16"/>
  <c r="C355" i="16"/>
  <c r="H393" i="16"/>
  <c r="H418" i="16"/>
  <c r="E437" i="16"/>
  <c r="D450" i="16"/>
  <c r="F457" i="16"/>
  <c r="F464" i="16"/>
  <c r="B470" i="16"/>
  <c r="F476" i="16"/>
  <c r="C483" i="16"/>
  <c r="D488" i="16"/>
  <c r="E494" i="16"/>
  <c r="D499" i="16"/>
  <c r="C504" i="16"/>
  <c r="H508" i="16"/>
  <c r="E513" i="16"/>
  <c r="B518" i="16"/>
  <c r="D522" i="16"/>
  <c r="F526" i="16"/>
  <c r="H530" i="16"/>
  <c r="C535" i="16"/>
  <c r="E538" i="16"/>
  <c r="G542" i="16"/>
  <c r="B547" i="16"/>
  <c r="C551" i="16"/>
  <c r="C554" i="16"/>
  <c r="H557" i="16"/>
  <c r="H560" i="16"/>
  <c r="E564" i="16"/>
  <c r="F567" i="16"/>
  <c r="F570" i="16"/>
  <c r="D574" i="16"/>
  <c r="D577" i="16"/>
  <c r="B581" i="16"/>
  <c r="B584" i="16"/>
  <c r="F587" i="16"/>
  <c r="E590" i="16"/>
  <c r="D593" i="16"/>
  <c r="D596" i="16"/>
  <c r="H598" i="16"/>
  <c r="E601" i="16"/>
  <c r="B604" i="16"/>
  <c r="F606" i="16"/>
  <c r="C609" i="16"/>
  <c r="G611" i="16"/>
  <c r="B614" i="16"/>
  <c r="D616" i="16"/>
  <c r="F618" i="16"/>
  <c r="H620" i="16"/>
  <c r="C623" i="16"/>
  <c r="E625" i="16"/>
  <c r="G627" i="16"/>
  <c r="B630" i="16"/>
  <c r="D632" i="16"/>
  <c r="F634" i="16"/>
  <c r="H636" i="16"/>
  <c r="C639" i="16"/>
  <c r="E641" i="16"/>
  <c r="G643" i="16"/>
  <c r="B646" i="16"/>
  <c r="D648" i="16"/>
  <c r="F650" i="16"/>
  <c r="H652" i="16"/>
  <c r="C655" i="16"/>
  <c r="E657" i="16"/>
  <c r="G659" i="16"/>
  <c r="B662" i="16"/>
  <c r="D664" i="16"/>
  <c r="F666" i="16"/>
  <c r="H668" i="16"/>
  <c r="C671" i="16"/>
  <c r="E673" i="16"/>
  <c r="G675" i="16"/>
  <c r="B678" i="16"/>
  <c r="D680" i="16"/>
  <c r="F682" i="16"/>
  <c r="H684" i="16"/>
  <c r="C687" i="16"/>
  <c r="E689" i="16"/>
  <c r="G691" i="16"/>
  <c r="B694" i="16"/>
  <c r="D696" i="16"/>
  <c r="F698" i="16"/>
  <c r="H700" i="16"/>
  <c r="C703" i="16"/>
  <c r="E705" i="16"/>
  <c r="G707" i="16"/>
  <c r="B710" i="16"/>
  <c r="D712" i="16"/>
  <c r="F714" i="16"/>
  <c r="H716" i="16"/>
  <c r="C719" i="16"/>
  <c r="E721" i="16"/>
  <c r="G723" i="16"/>
  <c r="B726" i="16"/>
  <c r="D728" i="16"/>
  <c r="F730" i="16"/>
  <c r="H732" i="16"/>
  <c r="C735" i="16"/>
  <c r="E737" i="16"/>
  <c r="G739" i="16"/>
  <c r="B742" i="16"/>
  <c r="D744" i="16"/>
  <c r="F746" i="16"/>
  <c r="H748" i="16"/>
  <c r="C751" i="16"/>
  <c r="E753" i="16"/>
  <c r="G755" i="16"/>
  <c r="B758" i="16"/>
  <c r="D760" i="16"/>
  <c r="H301" i="16"/>
  <c r="C360" i="16"/>
  <c r="G396" i="16"/>
  <c r="E421" i="16"/>
  <c r="F437" i="16"/>
  <c r="E450" i="16"/>
  <c r="G457" i="16"/>
  <c r="G464" i="16"/>
  <c r="F471" i="16"/>
  <c r="G476" i="16"/>
  <c r="D483" i="16"/>
  <c r="E489" i="16"/>
  <c r="F494" i="16"/>
  <c r="E499" i="16"/>
  <c r="D504" i="16"/>
  <c r="B510" i="16"/>
  <c r="F514" i="16"/>
  <c r="C519" i="16"/>
  <c r="E522" i="16"/>
  <c r="G526" i="16"/>
  <c r="B531" i="16"/>
  <c r="D535" i="16"/>
  <c r="F538" i="16"/>
  <c r="H542" i="16"/>
  <c r="C547" i="16"/>
  <c r="D551" i="16"/>
  <c r="D554" i="16"/>
  <c r="B558" i="16"/>
  <c r="B561" i="16"/>
  <c r="G564" i="16"/>
  <c r="G567" i="16"/>
  <c r="D571" i="16"/>
  <c r="E574" i="16"/>
  <c r="E577" i="16"/>
  <c r="C581" i="16"/>
  <c r="C584" i="16"/>
  <c r="G587" i="16"/>
  <c r="F590" i="16"/>
  <c r="E593" i="16"/>
  <c r="E596" i="16"/>
  <c r="B599" i="16"/>
  <c r="F601" i="16"/>
  <c r="C604" i="16"/>
  <c r="G606" i="16"/>
  <c r="D609" i="16"/>
  <c r="H611" i="16"/>
  <c r="C614" i="16"/>
  <c r="E616" i="16"/>
  <c r="G618" i="16"/>
  <c r="B621" i="16"/>
  <c r="D623" i="16"/>
  <c r="F625" i="16"/>
  <c r="H627" i="16"/>
  <c r="C630" i="16"/>
  <c r="E632" i="16"/>
  <c r="G634" i="16"/>
  <c r="B637" i="16"/>
  <c r="D639" i="16"/>
  <c r="F641" i="16"/>
  <c r="H643" i="16"/>
  <c r="C646" i="16"/>
  <c r="E648" i="16"/>
  <c r="G650" i="16"/>
  <c r="B653" i="16"/>
  <c r="D655" i="16"/>
  <c r="F657" i="16"/>
  <c r="H659" i="16"/>
  <c r="C662" i="16"/>
  <c r="E664" i="16"/>
  <c r="G666" i="16"/>
  <c r="B669" i="16"/>
  <c r="D671" i="16"/>
  <c r="F673" i="16"/>
  <c r="H675" i="16"/>
  <c r="C678" i="16"/>
  <c r="E680" i="16"/>
  <c r="G682" i="16"/>
  <c r="B685" i="16"/>
  <c r="D687" i="16"/>
  <c r="F689" i="16"/>
  <c r="H691" i="16"/>
  <c r="C694" i="16"/>
  <c r="E696" i="16"/>
  <c r="G698" i="16"/>
  <c r="B701" i="16"/>
  <c r="D703" i="16"/>
  <c r="F705" i="16"/>
  <c r="H707" i="16"/>
  <c r="C710" i="16"/>
  <c r="E712" i="16"/>
  <c r="G714" i="16"/>
  <c r="B717" i="16"/>
  <c r="D719" i="16"/>
  <c r="F721" i="16"/>
  <c r="H723" i="16"/>
  <c r="C726" i="16"/>
  <c r="E728" i="16"/>
  <c r="G730" i="16"/>
  <c r="B733" i="16"/>
  <c r="D735" i="16"/>
  <c r="F737" i="16"/>
  <c r="H739" i="16"/>
  <c r="C742" i="16"/>
  <c r="E744" i="16"/>
  <c r="G746" i="16"/>
  <c r="B749" i="16"/>
  <c r="D751" i="16"/>
  <c r="F753" i="16"/>
  <c r="H755" i="16"/>
  <c r="C758" i="16"/>
  <c r="D304" i="16"/>
  <c r="D360" i="16"/>
  <c r="H396" i="16"/>
  <c r="F421" i="16"/>
  <c r="H439" i="16"/>
  <c r="F450" i="16"/>
  <c r="H457" i="16"/>
  <c r="H464" i="16"/>
  <c r="G471" i="16"/>
  <c r="H476" i="16"/>
  <c r="E483" i="16"/>
  <c r="H489" i="16"/>
  <c r="G494" i="16"/>
  <c r="F499" i="16"/>
  <c r="E505" i="16"/>
  <c r="D510" i="16"/>
  <c r="H514" i="16"/>
  <c r="D519" i="16"/>
  <c r="F522" i="16"/>
  <c r="H526" i="16"/>
  <c r="C531" i="16"/>
  <c r="E535" i="16"/>
  <c r="G539" i="16"/>
  <c r="B543" i="16"/>
  <c r="D547" i="16"/>
  <c r="E551" i="16"/>
  <c r="E554" i="16"/>
  <c r="C558" i="16"/>
  <c r="C561" i="16"/>
  <c r="H564" i="16"/>
  <c r="H567" i="16"/>
  <c r="F571" i="16"/>
  <c r="F574" i="16"/>
  <c r="C578" i="16"/>
  <c r="D581" i="16"/>
  <c r="D584" i="16"/>
  <c r="H587" i="16"/>
  <c r="G590" i="16"/>
  <c r="B594" i="16"/>
  <c r="F596" i="16"/>
  <c r="C599" i="16"/>
  <c r="G601" i="16"/>
  <c r="D604" i="16"/>
  <c r="H606" i="16"/>
  <c r="E609" i="16"/>
  <c r="B612" i="16"/>
  <c r="D614" i="16"/>
  <c r="F616" i="16"/>
  <c r="H618" i="16"/>
  <c r="C621" i="16"/>
  <c r="E623" i="16"/>
  <c r="G625" i="16"/>
  <c r="B628" i="16"/>
  <c r="D630" i="16"/>
  <c r="F632" i="16"/>
  <c r="H634" i="16"/>
  <c r="C637" i="16"/>
  <c r="E639" i="16"/>
  <c r="G641" i="16"/>
  <c r="B644" i="16"/>
  <c r="D646" i="16"/>
  <c r="F648" i="16"/>
  <c r="H650" i="16"/>
  <c r="C653" i="16"/>
  <c r="E655" i="16"/>
  <c r="G657" i="16"/>
  <c r="B660" i="16"/>
  <c r="D662" i="16"/>
  <c r="F664" i="16"/>
  <c r="H666" i="16"/>
  <c r="C669" i="16"/>
  <c r="E671" i="16"/>
  <c r="G673" i="16"/>
  <c r="B676" i="16"/>
  <c r="D678" i="16"/>
  <c r="F680" i="16"/>
  <c r="H682" i="16"/>
  <c r="C685" i="16"/>
  <c r="E687" i="16"/>
  <c r="G689" i="16"/>
  <c r="B692" i="16"/>
  <c r="D694" i="16"/>
  <c r="F696" i="16"/>
  <c r="H698" i="16"/>
  <c r="C701" i="16"/>
  <c r="E703" i="16"/>
  <c r="G705" i="16"/>
  <c r="B708" i="16"/>
  <c r="D710" i="16"/>
  <c r="F712" i="16"/>
  <c r="H714" i="16"/>
  <c r="C717" i="16"/>
  <c r="E719" i="16"/>
  <c r="G721" i="16"/>
  <c r="B724" i="16"/>
  <c r="D726" i="16"/>
  <c r="F728" i="16"/>
  <c r="H730" i="16"/>
  <c r="C733" i="16"/>
  <c r="E735" i="16"/>
  <c r="G737" i="16"/>
  <c r="B740" i="16"/>
  <c r="D742" i="16"/>
  <c r="F744" i="16"/>
  <c r="H746" i="16"/>
  <c r="C749" i="16"/>
  <c r="E751" i="16"/>
  <c r="E313" i="16"/>
  <c r="B365" i="16"/>
  <c r="C400" i="16"/>
  <c r="C424" i="16"/>
  <c r="B440" i="16"/>
  <c r="D452" i="16"/>
  <c r="F459" i="16"/>
  <c r="B465" i="16"/>
  <c r="H471" i="16"/>
  <c r="E478" i="16"/>
  <c r="F483" i="16"/>
  <c r="B490" i="16"/>
  <c r="H494" i="16"/>
  <c r="G499" i="16"/>
  <c r="H505" i="16"/>
  <c r="E510" i="16"/>
  <c r="B515" i="16"/>
  <c r="E519" i="16"/>
  <c r="G523" i="16"/>
  <c r="B527" i="16"/>
  <c r="D531" i="16"/>
  <c r="F535" i="16"/>
  <c r="H539" i="16"/>
  <c r="C543" i="16"/>
  <c r="E547" i="16"/>
  <c r="F551" i="16"/>
  <c r="F554" i="16"/>
  <c r="D558" i="16"/>
  <c r="D561" i="16"/>
  <c r="B565" i="16"/>
  <c r="B568" i="16"/>
  <c r="G571" i="16"/>
  <c r="G574" i="16"/>
  <c r="E578" i="16"/>
  <c r="E581" i="16"/>
  <c r="B585" i="16"/>
  <c r="B588" i="16"/>
  <c r="H590" i="16"/>
  <c r="C594" i="16"/>
  <c r="G596" i="16"/>
  <c r="D599" i="16"/>
  <c r="H601" i="16"/>
  <c r="E604" i="16"/>
  <c r="B607" i="16"/>
  <c r="H609" i="16"/>
  <c r="C612" i="16"/>
  <c r="E614" i="16"/>
  <c r="G616" i="16"/>
  <c r="B619" i="16"/>
  <c r="D621" i="16"/>
  <c r="F623" i="16"/>
  <c r="H625" i="16"/>
  <c r="C628" i="16"/>
  <c r="E630" i="16"/>
  <c r="G632" i="16"/>
  <c r="B635" i="16"/>
  <c r="D637" i="16"/>
  <c r="F639" i="16"/>
  <c r="H641" i="16"/>
  <c r="C644" i="16"/>
  <c r="E646" i="16"/>
  <c r="G648" i="16"/>
  <c r="B651" i="16"/>
  <c r="D653" i="16"/>
  <c r="F655" i="16"/>
  <c r="H657" i="16"/>
  <c r="C660" i="16"/>
  <c r="E662" i="16"/>
  <c r="G664" i="16"/>
  <c r="B667" i="16"/>
  <c r="D669" i="16"/>
  <c r="F671" i="16"/>
  <c r="H673" i="16"/>
  <c r="C676" i="16"/>
  <c r="E678" i="16"/>
  <c r="G680" i="16"/>
  <c r="B683" i="16"/>
  <c r="D685" i="16"/>
  <c r="F687" i="16"/>
  <c r="H689" i="16"/>
  <c r="C692" i="16"/>
  <c r="E694" i="16"/>
  <c r="G696" i="16"/>
  <c r="B699" i="16"/>
  <c r="F313" i="16"/>
  <c r="C365" i="16"/>
  <c r="F400" i="16"/>
  <c r="D424" i="16"/>
  <c r="C440" i="16"/>
  <c r="G452" i="16"/>
  <c r="G459" i="16"/>
  <c r="C465" i="16"/>
  <c r="B472" i="16"/>
  <c r="F478" i="16"/>
  <c r="G483" i="16"/>
  <c r="C490" i="16"/>
  <c r="B495" i="16"/>
  <c r="H500" i="16"/>
  <c r="B506" i="16"/>
  <c r="F510" i="16"/>
  <c r="C515" i="16"/>
  <c r="F519" i="16"/>
  <c r="H523" i="16"/>
  <c r="C527" i="16"/>
  <c r="E531" i="16"/>
  <c r="G535" i="16"/>
  <c r="B540" i="16"/>
  <c r="D544" i="16"/>
  <c r="F547" i="16"/>
  <c r="G551" i="16"/>
  <c r="D555" i="16"/>
  <c r="E558" i="16"/>
  <c r="E561" i="16"/>
  <c r="C565" i="16"/>
  <c r="C568" i="16"/>
  <c r="H571" i="16"/>
  <c r="H574" i="16"/>
  <c r="F578" i="16"/>
  <c r="F581" i="16"/>
  <c r="D585" i="16"/>
  <c r="C588" i="16"/>
  <c r="B591" i="16"/>
  <c r="D594" i="16"/>
  <c r="H596" i="16"/>
  <c r="E599" i="16"/>
  <c r="B602" i="16"/>
  <c r="F604" i="16"/>
  <c r="C607" i="16"/>
  <c r="B610" i="16"/>
  <c r="D612" i="16"/>
  <c r="F614" i="16"/>
  <c r="H616" i="16"/>
  <c r="C619" i="16"/>
  <c r="E621" i="16"/>
  <c r="G623" i="16"/>
  <c r="B626" i="16"/>
  <c r="D628" i="16"/>
  <c r="F630" i="16"/>
  <c r="H632" i="16"/>
  <c r="C635" i="16"/>
  <c r="E637" i="16"/>
  <c r="G639" i="16"/>
  <c r="B642" i="16"/>
  <c r="D644" i="16"/>
  <c r="F646" i="16"/>
  <c r="H648" i="16"/>
  <c r="C651" i="16"/>
  <c r="E653" i="16"/>
  <c r="G655" i="16"/>
  <c r="B658" i="16"/>
  <c r="D660" i="16"/>
  <c r="F662" i="16"/>
  <c r="H664" i="16"/>
  <c r="C667" i="16"/>
  <c r="E669" i="16"/>
  <c r="G671" i="16"/>
  <c r="B674" i="16"/>
  <c r="D676" i="16"/>
  <c r="F678" i="16"/>
  <c r="H680" i="16"/>
  <c r="C683" i="16"/>
  <c r="E685" i="16"/>
  <c r="G687" i="16"/>
  <c r="B690" i="16"/>
  <c r="D692" i="16"/>
  <c r="F694" i="16"/>
  <c r="H696" i="16"/>
  <c r="C699" i="16"/>
  <c r="E701" i="16"/>
  <c r="G703" i="16"/>
  <c r="B706" i="16"/>
  <c r="D708" i="16"/>
  <c r="F710" i="16"/>
  <c r="H712" i="16"/>
  <c r="C715" i="16"/>
  <c r="E717" i="16"/>
  <c r="G719" i="16"/>
  <c r="B722" i="16"/>
  <c r="D724" i="16"/>
  <c r="F726" i="16"/>
  <c r="H728" i="16"/>
  <c r="C731" i="16"/>
  <c r="E733" i="16"/>
  <c r="F321" i="16"/>
  <c r="B371" i="16"/>
  <c r="D403" i="16"/>
  <c r="G426" i="16"/>
  <c r="E442" i="16"/>
  <c r="H452" i="16"/>
  <c r="H459" i="16"/>
  <c r="H466" i="16"/>
  <c r="C472" i="16"/>
  <c r="G478" i="16"/>
  <c r="D485" i="16"/>
  <c r="D490" i="16"/>
  <c r="C495" i="16"/>
  <c r="D501" i="16"/>
  <c r="C506" i="16"/>
  <c r="G510" i="16"/>
  <c r="D515" i="16"/>
  <c r="G519" i="16"/>
  <c r="B524" i="16"/>
  <c r="D528" i="16"/>
  <c r="F531" i="16"/>
  <c r="H535" i="16"/>
  <c r="C540" i="16"/>
  <c r="E544" i="16"/>
  <c r="G547" i="16"/>
  <c r="H551" i="16"/>
  <c r="F555" i="16"/>
  <c r="F558" i="16"/>
  <c r="C562" i="16"/>
  <c r="D565" i="16"/>
  <c r="D568" i="16"/>
  <c r="B572" i="16"/>
  <c r="B575" i="16"/>
  <c r="G578" i="16"/>
  <c r="G581" i="16"/>
  <c r="E585" i="16"/>
  <c r="D588" i="16"/>
  <c r="C591" i="16"/>
  <c r="E594" i="16"/>
  <c r="B597" i="16"/>
  <c r="F599" i="16"/>
  <c r="C602" i="16"/>
  <c r="G604" i="16"/>
  <c r="F607" i="16"/>
  <c r="C610" i="16"/>
  <c r="E612" i="16"/>
  <c r="G614" i="16"/>
  <c r="B617" i="16"/>
  <c r="D619" i="16"/>
  <c r="F621" i="16"/>
  <c r="H623" i="16"/>
  <c r="C626" i="16"/>
  <c r="E628" i="16"/>
  <c r="G630" i="16"/>
  <c r="B633" i="16"/>
  <c r="D635" i="16"/>
  <c r="F637" i="16"/>
  <c r="H639" i="16"/>
  <c r="C642" i="16"/>
  <c r="E644" i="16"/>
  <c r="G646" i="16"/>
  <c r="B649" i="16"/>
  <c r="D651" i="16"/>
  <c r="F653" i="16"/>
  <c r="H655" i="16"/>
  <c r="C658" i="16"/>
  <c r="E660" i="16"/>
  <c r="G662" i="16"/>
  <c r="B665" i="16"/>
  <c r="D667" i="16"/>
  <c r="F669" i="16"/>
  <c r="H671" i="16"/>
  <c r="C674" i="16"/>
  <c r="G163" i="16"/>
  <c r="G321" i="16"/>
  <c r="D371" i="16"/>
  <c r="E403" i="16"/>
  <c r="H426" i="16"/>
  <c r="F442" i="16"/>
  <c r="B453" i="16"/>
  <c r="B460" i="16"/>
  <c r="B467" i="16"/>
  <c r="D472" i="16"/>
  <c r="H478" i="16"/>
  <c r="E485" i="16"/>
  <c r="E490" i="16"/>
  <c r="D496" i="16"/>
  <c r="E501" i="16"/>
  <c r="D506" i="16"/>
  <c r="H510" i="16"/>
  <c r="E515" i="16"/>
  <c r="H519" i="16"/>
  <c r="C524" i="16"/>
  <c r="E528" i="16"/>
  <c r="G531" i="16"/>
  <c r="B536" i="16"/>
  <c r="D540" i="16"/>
  <c r="F544" i="16"/>
  <c r="H548" i="16"/>
  <c r="B552" i="16"/>
  <c r="G555" i="16"/>
  <c r="G558" i="16"/>
  <c r="E562" i="16"/>
  <c r="E565" i="16"/>
  <c r="B569" i="16"/>
  <c r="C572" i="16"/>
  <c r="C575" i="16"/>
  <c r="H578" i="16"/>
  <c r="H581" i="16"/>
  <c r="F585" i="16"/>
  <c r="E588" i="16"/>
  <c r="H591" i="16"/>
  <c r="F594" i="16"/>
  <c r="C597" i="16"/>
  <c r="G599" i="16"/>
  <c r="D602" i="16"/>
  <c r="H604" i="16"/>
  <c r="G607" i="16"/>
  <c r="D610" i="16"/>
  <c r="F612" i="16"/>
  <c r="H614" i="16"/>
  <c r="C617" i="16"/>
  <c r="E619" i="16"/>
  <c r="G621" i="16"/>
  <c r="B624" i="16"/>
  <c r="D626" i="16"/>
  <c r="F628" i="16"/>
  <c r="H630" i="16"/>
  <c r="C633" i="16"/>
  <c r="E635" i="16"/>
  <c r="G637" i="16"/>
  <c r="B640" i="16"/>
  <c r="D642" i="16"/>
  <c r="F644" i="16"/>
  <c r="H646" i="16"/>
  <c r="C649" i="16"/>
  <c r="E651" i="16"/>
  <c r="G653" i="16"/>
  <c r="B656" i="16"/>
  <c r="D658" i="16"/>
  <c r="F660" i="16"/>
  <c r="H662" i="16"/>
  <c r="C665" i="16"/>
  <c r="E667" i="16"/>
  <c r="G669" i="16"/>
  <c r="B672" i="16"/>
  <c r="D674" i="16"/>
  <c r="F676" i="16"/>
  <c r="C211" i="16"/>
  <c r="B328" i="16"/>
  <c r="G375" i="16"/>
  <c r="C406" i="16"/>
  <c r="F429" i="16"/>
  <c r="G442" i="16"/>
  <c r="G454" i="16"/>
  <c r="C460" i="16"/>
  <c r="C467" i="16"/>
  <c r="H473" i="16"/>
  <c r="B479" i="16"/>
  <c r="F485" i="16"/>
  <c r="F490" i="16"/>
  <c r="G496" i="16"/>
  <c r="F501" i="16"/>
  <c r="E506" i="16"/>
  <c r="B511" i="16"/>
  <c r="F515" i="16"/>
  <c r="B520" i="16"/>
  <c r="D524" i="16"/>
  <c r="F528" i="16"/>
  <c r="H532" i="16"/>
  <c r="C536" i="16"/>
  <c r="E540" i="16"/>
  <c r="G544" i="16"/>
  <c r="B549" i="16"/>
  <c r="C552" i="16"/>
  <c r="H555" i="16"/>
  <c r="H558" i="16"/>
  <c r="F562" i="16"/>
  <c r="F565" i="16"/>
  <c r="D569" i="16"/>
  <c r="D572" i="16"/>
  <c r="H575" i="16"/>
  <c r="B579" i="16"/>
  <c r="B582" i="16"/>
  <c r="G585" i="16"/>
  <c r="F588" i="16"/>
  <c r="B592" i="16"/>
  <c r="G594" i="16"/>
  <c r="D597" i="16"/>
  <c r="H599" i="16"/>
  <c r="E602" i="16"/>
  <c r="D605" i="16"/>
  <c r="H607" i="16"/>
  <c r="E610" i="16"/>
  <c r="G612" i="16"/>
  <c r="B615" i="16"/>
  <c r="D617" i="16"/>
  <c r="F619" i="16"/>
  <c r="H621" i="16"/>
  <c r="C624" i="16"/>
  <c r="E626" i="16"/>
  <c r="G628" i="16"/>
  <c r="B631" i="16"/>
  <c r="D633" i="16"/>
  <c r="F635" i="16"/>
  <c r="H637" i="16"/>
  <c r="C640" i="16"/>
  <c r="E642" i="16"/>
  <c r="G644" i="16"/>
  <c r="B647" i="16"/>
  <c r="D649" i="16"/>
  <c r="F651" i="16"/>
  <c r="H653" i="16"/>
  <c r="C656" i="16"/>
  <c r="E658" i="16"/>
  <c r="G660" i="16"/>
  <c r="B663" i="16"/>
  <c r="D665" i="16"/>
  <c r="F667" i="16"/>
  <c r="H669" i="16"/>
  <c r="C672" i="16"/>
  <c r="E674" i="16"/>
  <c r="B237" i="16"/>
  <c r="D336" i="16"/>
  <c r="E380" i="16"/>
  <c r="G409" i="16"/>
  <c r="D432" i="16"/>
  <c r="F445" i="16"/>
  <c r="C455" i="16"/>
  <c r="C462" i="16"/>
  <c r="F467" i="16"/>
  <c r="D474" i="16"/>
  <c r="H480" i="16"/>
  <c r="B486" i="16"/>
  <c r="D492" i="16"/>
  <c r="C497" i="16"/>
  <c r="B502" i="16"/>
  <c r="B508" i="16"/>
  <c r="F512" i="16"/>
  <c r="C517" i="16"/>
  <c r="E521" i="16"/>
  <c r="G524" i="16"/>
  <c r="B529" i="16"/>
  <c r="D533" i="16"/>
  <c r="F537" i="16"/>
  <c r="H540" i="16"/>
  <c r="C545" i="16"/>
  <c r="E549" i="16"/>
  <c r="D553" i="16"/>
  <c r="D556" i="16"/>
  <c r="H559" i="16"/>
  <c r="B563" i="16"/>
  <c r="B566" i="16"/>
  <c r="G569" i="16"/>
  <c r="G572" i="16"/>
  <c r="E576" i="16"/>
  <c r="E579" i="16"/>
  <c r="C583" i="16"/>
  <c r="C586" i="16"/>
  <c r="F589" i="16"/>
  <c r="E592" i="16"/>
  <c r="C595" i="16"/>
  <c r="G597" i="16"/>
  <c r="D600" i="16"/>
  <c r="C603" i="16"/>
  <c r="G605" i="16"/>
  <c r="D608" i="16"/>
  <c r="H610" i="16"/>
  <c r="C613" i="16"/>
  <c r="E615" i="16"/>
  <c r="G617" i="16"/>
  <c r="B620" i="16"/>
  <c r="D622" i="16"/>
  <c r="F624" i="16"/>
  <c r="H626" i="16"/>
  <c r="C629" i="16"/>
  <c r="E631" i="16"/>
  <c r="G633" i="16"/>
  <c r="B636" i="16"/>
  <c r="D638" i="16"/>
  <c r="F640" i="16"/>
  <c r="H642" i="16"/>
  <c r="C645" i="16"/>
  <c r="E647" i="16"/>
  <c r="G649" i="16"/>
  <c r="B652" i="16"/>
  <c r="D654" i="16"/>
  <c r="F656" i="16"/>
  <c r="H658" i="16"/>
  <c r="C661" i="16"/>
  <c r="E663" i="16"/>
  <c r="G665" i="16"/>
  <c r="G429" i="16"/>
  <c r="G491" i="16"/>
  <c r="G528" i="16"/>
  <c r="B559" i="16"/>
  <c r="H585" i="16"/>
  <c r="B608" i="16"/>
  <c r="F626" i="16"/>
  <c r="H644" i="16"/>
  <c r="C663" i="16"/>
  <c r="E676" i="16"/>
  <c r="G681" i="16"/>
  <c r="D688" i="16"/>
  <c r="H694" i="16"/>
  <c r="B700" i="16"/>
  <c r="C706" i="16"/>
  <c r="B711" i="16"/>
  <c r="H715" i="16"/>
  <c r="H721" i="16"/>
  <c r="H726" i="16"/>
  <c r="G731" i="16"/>
  <c r="E736" i="16"/>
  <c r="B741" i="16"/>
  <c r="F745" i="16"/>
  <c r="C750" i="16"/>
  <c r="F754" i="16"/>
  <c r="H758" i="16"/>
  <c r="E762" i="16"/>
  <c r="D765" i="16"/>
  <c r="C768" i="16"/>
  <c r="F771" i="16"/>
  <c r="E774" i="16"/>
  <c r="D777" i="16"/>
  <c r="G780" i="16"/>
  <c r="E783" i="16"/>
  <c r="C786" i="16"/>
  <c r="H788" i="16"/>
  <c r="B792" i="16"/>
  <c r="G794" i="16"/>
  <c r="D797" i="16"/>
  <c r="H799" i="16"/>
  <c r="E802" i="16"/>
  <c r="B805" i="16"/>
  <c r="D807" i="16"/>
  <c r="F809" i="16"/>
  <c r="H811" i="16"/>
  <c r="C814" i="16"/>
  <c r="E816" i="16"/>
  <c r="G818" i="16"/>
  <c r="B821" i="16"/>
  <c r="D823" i="16"/>
  <c r="F825" i="16"/>
  <c r="H827" i="16"/>
  <c r="C830" i="16"/>
  <c r="E832" i="16"/>
  <c r="G834" i="16"/>
  <c r="B837" i="16"/>
  <c r="D839" i="16"/>
  <c r="F841" i="16"/>
  <c r="H843" i="16"/>
  <c r="C846" i="16"/>
  <c r="E848" i="16"/>
  <c r="G850" i="16"/>
  <c r="B853" i="16"/>
  <c r="D855" i="16"/>
  <c r="F857" i="16"/>
  <c r="H859" i="16"/>
  <c r="C862" i="16"/>
  <c r="E864" i="16"/>
  <c r="G866" i="16"/>
  <c r="B869" i="16"/>
  <c r="D871" i="16"/>
  <c r="F873" i="16"/>
  <c r="H875" i="16"/>
  <c r="C878" i="16"/>
  <c r="E880" i="16"/>
  <c r="G882" i="16"/>
  <c r="B885" i="16"/>
  <c r="D887" i="16"/>
  <c r="F889" i="16"/>
  <c r="H891" i="16"/>
  <c r="C894" i="16"/>
  <c r="E896" i="16"/>
  <c r="G898" i="16"/>
  <c r="B901" i="16"/>
  <c r="D903" i="16"/>
  <c r="F905" i="16"/>
  <c r="H907" i="16"/>
  <c r="C910" i="16"/>
  <c r="E912" i="16"/>
  <c r="G914" i="16"/>
  <c r="B917" i="16"/>
  <c r="D919" i="16"/>
  <c r="F921" i="16"/>
  <c r="H923" i="16"/>
  <c r="C926" i="16"/>
  <c r="E928" i="16"/>
  <c r="G930" i="16"/>
  <c r="B933" i="16"/>
  <c r="D935" i="16"/>
  <c r="F937" i="16"/>
  <c r="H939" i="16"/>
  <c r="C942" i="16"/>
  <c r="E944" i="16"/>
  <c r="G946" i="16"/>
  <c r="B949" i="16"/>
  <c r="D951" i="16"/>
  <c r="F953" i="16"/>
  <c r="H955" i="16"/>
  <c r="C958" i="16"/>
  <c r="E960" i="16"/>
  <c r="G962" i="16"/>
  <c r="B965" i="16"/>
  <c r="D967" i="16"/>
  <c r="F969" i="16"/>
  <c r="H971" i="16"/>
  <c r="C974" i="16"/>
  <c r="E976" i="16"/>
  <c r="G978" i="16"/>
  <c r="B981" i="16"/>
  <c r="D983" i="16"/>
  <c r="F985" i="16"/>
  <c r="H987" i="16"/>
  <c r="C990" i="16"/>
  <c r="E992" i="16"/>
  <c r="G994" i="16"/>
  <c r="B997" i="16"/>
  <c r="D999" i="16"/>
  <c r="F1001" i="16"/>
  <c r="H1003" i="16"/>
  <c r="C1006" i="16"/>
  <c r="E1008" i="16"/>
  <c r="G1010" i="16"/>
  <c r="B1013" i="16"/>
  <c r="D1015" i="16"/>
  <c r="F1017" i="16"/>
  <c r="H1019" i="16"/>
  <c r="C1022" i="16"/>
  <c r="E1024" i="16"/>
  <c r="G1026" i="16"/>
  <c r="B1029" i="16"/>
  <c r="D1031" i="16"/>
  <c r="F1033" i="16"/>
  <c r="H1035" i="16"/>
  <c r="C1038" i="16"/>
  <c r="E1040" i="16"/>
  <c r="G1042" i="16"/>
  <c r="C432" i="16"/>
  <c r="C492" i="16"/>
  <c r="H528" i="16"/>
  <c r="C559" i="16"/>
  <c r="B586" i="16"/>
  <c r="C608" i="16"/>
  <c r="G626" i="16"/>
  <c r="B645" i="16"/>
  <c r="D663" i="16"/>
  <c r="G676" i="16"/>
  <c r="D683" i="16"/>
  <c r="E688" i="16"/>
  <c r="B695" i="16"/>
  <c r="D701" i="16"/>
  <c r="D706" i="16"/>
  <c r="C711" i="16"/>
  <c r="B716" i="16"/>
  <c r="C722" i="16"/>
  <c r="B727" i="16"/>
  <c r="H731" i="16"/>
  <c r="F736" i="16"/>
  <c r="C741" i="16"/>
  <c r="G745" i="16"/>
  <c r="D750" i="16"/>
  <c r="G754" i="16"/>
  <c r="B759" i="16"/>
  <c r="F762" i="16"/>
  <c r="E765" i="16"/>
  <c r="D768" i="16"/>
  <c r="G771" i="16"/>
  <c r="F774" i="16"/>
  <c r="E777" i="16"/>
  <c r="H780" i="16"/>
  <c r="F783" i="16"/>
  <c r="D786" i="16"/>
  <c r="B789" i="16"/>
  <c r="C792" i="16"/>
  <c r="H794" i="16"/>
  <c r="E797" i="16"/>
  <c r="B800" i="16"/>
  <c r="F802" i="16"/>
  <c r="C805" i="16"/>
  <c r="E807" i="16"/>
  <c r="G809" i="16"/>
  <c r="B812" i="16"/>
  <c r="D814" i="16"/>
  <c r="F816" i="16"/>
  <c r="H818" i="16"/>
  <c r="C821" i="16"/>
  <c r="E823" i="16"/>
  <c r="G825" i="16"/>
  <c r="B828" i="16"/>
  <c r="D830" i="16"/>
  <c r="F832" i="16"/>
  <c r="H834" i="16"/>
  <c r="C837" i="16"/>
  <c r="E839" i="16"/>
  <c r="G841" i="16"/>
  <c r="B844" i="16"/>
  <c r="D846" i="16"/>
  <c r="F848" i="16"/>
  <c r="H850" i="16"/>
  <c r="C853" i="16"/>
  <c r="E855" i="16"/>
  <c r="G857" i="16"/>
  <c r="B860" i="16"/>
  <c r="D862" i="16"/>
  <c r="F864" i="16"/>
  <c r="H866" i="16"/>
  <c r="C869" i="16"/>
  <c r="E871" i="16"/>
  <c r="G873" i="16"/>
  <c r="B876" i="16"/>
  <c r="D878" i="16"/>
  <c r="F880" i="16"/>
  <c r="H882" i="16"/>
  <c r="C885" i="16"/>
  <c r="E887" i="16"/>
  <c r="G889" i="16"/>
  <c r="B892" i="16"/>
  <c r="D894" i="16"/>
  <c r="F896" i="16"/>
  <c r="H898" i="16"/>
  <c r="C901" i="16"/>
  <c r="E903" i="16"/>
  <c r="G905" i="16"/>
  <c r="B908" i="16"/>
  <c r="D910" i="16"/>
  <c r="F912" i="16"/>
  <c r="H914" i="16"/>
  <c r="C917" i="16"/>
  <c r="E919" i="16"/>
  <c r="G921" i="16"/>
  <c r="B924" i="16"/>
  <c r="D926" i="16"/>
  <c r="F928" i="16"/>
  <c r="H930" i="16"/>
  <c r="C933" i="16"/>
  <c r="E935" i="16"/>
  <c r="G937" i="16"/>
  <c r="B940" i="16"/>
  <c r="D942" i="16"/>
  <c r="F944" i="16"/>
  <c r="H946" i="16"/>
  <c r="C949" i="16"/>
  <c r="E951" i="16"/>
  <c r="G953" i="16"/>
  <c r="B956" i="16"/>
  <c r="D958" i="16"/>
  <c r="F960" i="16"/>
  <c r="H962" i="16"/>
  <c r="C965" i="16"/>
  <c r="E967" i="16"/>
  <c r="G969" i="16"/>
  <c r="B972" i="16"/>
  <c r="D974" i="16"/>
  <c r="F976" i="16"/>
  <c r="H978" i="16"/>
  <c r="C981" i="16"/>
  <c r="E983" i="16"/>
  <c r="G985" i="16"/>
  <c r="B988" i="16"/>
  <c r="D990" i="16"/>
  <c r="F992" i="16"/>
  <c r="H994" i="16"/>
  <c r="C997" i="16"/>
  <c r="E999" i="16"/>
  <c r="G1001" i="16"/>
  <c r="B1004" i="16"/>
  <c r="D1006" i="16"/>
  <c r="F1008" i="16"/>
  <c r="H1010" i="16"/>
  <c r="C1013" i="16"/>
  <c r="E1015" i="16"/>
  <c r="G1017" i="16"/>
  <c r="B1020" i="16"/>
  <c r="D1022" i="16"/>
  <c r="F1024" i="16"/>
  <c r="H1026" i="16"/>
  <c r="C1029" i="16"/>
  <c r="E1031" i="16"/>
  <c r="G1033" i="16"/>
  <c r="B1036" i="16"/>
  <c r="D1038" i="16"/>
  <c r="F1040" i="16"/>
  <c r="H1042" i="16"/>
  <c r="B445" i="16"/>
  <c r="H496" i="16"/>
  <c r="B533" i="16"/>
  <c r="G562" i="16"/>
  <c r="G588" i="16"/>
  <c r="F610" i="16"/>
  <c r="H628" i="16"/>
  <c r="C647" i="16"/>
  <c r="E665" i="16"/>
  <c r="H676" i="16"/>
  <c r="E683" i="16"/>
  <c r="F688" i="16"/>
  <c r="C695" i="16"/>
  <c r="F701" i="16"/>
  <c r="E706" i="16"/>
  <c r="D711" i="16"/>
  <c r="D717" i="16"/>
  <c r="D722" i="16"/>
  <c r="C727" i="16"/>
  <c r="B732" i="16"/>
  <c r="H737" i="16"/>
  <c r="E742" i="16"/>
  <c r="B747" i="16"/>
  <c r="F751" i="16"/>
  <c r="H754" i="16"/>
  <c r="C759" i="16"/>
  <c r="G762" i="16"/>
  <c r="F765" i="16"/>
  <c r="E768" i="16"/>
  <c r="H771" i="16"/>
  <c r="G774" i="16"/>
  <c r="F777" i="16"/>
  <c r="B781" i="16"/>
  <c r="G783" i="16"/>
  <c r="E786" i="16"/>
  <c r="C789" i="16"/>
  <c r="D792" i="16"/>
  <c r="B795" i="16"/>
  <c r="F797" i="16"/>
  <c r="C800" i="16"/>
  <c r="G802" i="16"/>
  <c r="D805" i="16"/>
  <c r="F807" i="16"/>
  <c r="H809" i="16"/>
  <c r="C812" i="16"/>
  <c r="E814" i="16"/>
  <c r="G816" i="16"/>
  <c r="B819" i="16"/>
  <c r="D821" i="16"/>
  <c r="F823" i="16"/>
  <c r="H825" i="16"/>
  <c r="C828" i="16"/>
  <c r="E830" i="16"/>
  <c r="G832" i="16"/>
  <c r="B835" i="16"/>
  <c r="D837" i="16"/>
  <c r="F839" i="16"/>
  <c r="H841" i="16"/>
  <c r="C844" i="16"/>
  <c r="E846" i="16"/>
  <c r="G848" i="16"/>
  <c r="B851" i="16"/>
  <c r="D853" i="16"/>
  <c r="F855" i="16"/>
  <c r="H857" i="16"/>
  <c r="C860" i="16"/>
  <c r="E862" i="16"/>
  <c r="G864" i="16"/>
  <c r="B867" i="16"/>
  <c r="D869" i="16"/>
  <c r="F871" i="16"/>
  <c r="H873" i="16"/>
  <c r="C876" i="16"/>
  <c r="E878" i="16"/>
  <c r="G880" i="16"/>
  <c r="B883" i="16"/>
  <c r="D885" i="16"/>
  <c r="F887" i="16"/>
  <c r="H889" i="16"/>
  <c r="C892" i="16"/>
  <c r="E894" i="16"/>
  <c r="G896" i="16"/>
  <c r="B899" i="16"/>
  <c r="D901" i="16"/>
  <c r="F903" i="16"/>
  <c r="H905" i="16"/>
  <c r="C908" i="16"/>
  <c r="E910" i="16"/>
  <c r="G912" i="16"/>
  <c r="B915" i="16"/>
  <c r="D917" i="16"/>
  <c r="F919" i="16"/>
  <c r="H921" i="16"/>
  <c r="C924" i="16"/>
  <c r="E926" i="16"/>
  <c r="G928" i="16"/>
  <c r="B931" i="16"/>
  <c r="D933" i="16"/>
  <c r="F935" i="16"/>
  <c r="H937" i="16"/>
  <c r="C940" i="16"/>
  <c r="E942" i="16"/>
  <c r="G944" i="16"/>
  <c r="B947" i="16"/>
  <c r="D949" i="16"/>
  <c r="F951" i="16"/>
  <c r="H953" i="16"/>
  <c r="C956" i="16"/>
  <c r="E958" i="16"/>
  <c r="G960" i="16"/>
  <c r="B963" i="16"/>
  <c r="D965" i="16"/>
  <c r="F967" i="16"/>
  <c r="H969" i="16"/>
  <c r="C972" i="16"/>
  <c r="E974" i="16"/>
  <c r="G976" i="16"/>
  <c r="B979" i="16"/>
  <c r="D981" i="16"/>
  <c r="F983" i="16"/>
  <c r="H985" i="16"/>
  <c r="C988" i="16"/>
  <c r="E990" i="16"/>
  <c r="G992" i="16"/>
  <c r="B995" i="16"/>
  <c r="D997" i="16"/>
  <c r="F999" i="16"/>
  <c r="H1001" i="16"/>
  <c r="C1004" i="16"/>
  <c r="E1006" i="16"/>
  <c r="G1008" i="16"/>
  <c r="B1011" i="16"/>
  <c r="D1013" i="16"/>
  <c r="F1015" i="16"/>
  <c r="H1017" i="16"/>
  <c r="C1020" i="16"/>
  <c r="E1022" i="16"/>
  <c r="G1024" i="16"/>
  <c r="B1027" i="16"/>
  <c r="D1029" i="16"/>
  <c r="F1031" i="16"/>
  <c r="H1033" i="16"/>
  <c r="C1036" i="16"/>
  <c r="E1038" i="16"/>
  <c r="G1040" i="16"/>
  <c r="B1043" i="16"/>
  <c r="C445" i="16"/>
  <c r="B497" i="16"/>
  <c r="C533" i="16"/>
  <c r="H562" i="16"/>
  <c r="H588" i="16"/>
  <c r="G610" i="16"/>
  <c r="B629" i="16"/>
  <c r="D647" i="16"/>
  <c r="F665" i="16"/>
  <c r="B677" i="16"/>
  <c r="F683" i="16"/>
  <c r="C690" i="16"/>
  <c r="D695" i="16"/>
  <c r="G701" i="16"/>
  <c r="F706" i="16"/>
  <c r="E711" i="16"/>
  <c r="F717" i="16"/>
  <c r="E722" i="16"/>
  <c r="D727" i="16"/>
  <c r="D733" i="16"/>
  <c r="B738" i="16"/>
  <c r="F742" i="16"/>
  <c r="C747" i="16"/>
  <c r="G751" i="16"/>
  <c r="B756" i="16"/>
  <c r="D759" i="16"/>
  <c r="H762" i="16"/>
  <c r="G765" i="16"/>
  <c r="F768" i="16"/>
  <c r="B772" i="16"/>
  <c r="H774" i="16"/>
  <c r="G777" i="16"/>
  <c r="C781" i="16"/>
  <c r="H783" i="16"/>
  <c r="F786" i="16"/>
  <c r="G789" i="16"/>
  <c r="E792" i="16"/>
  <c r="C795" i="16"/>
  <c r="G797" i="16"/>
  <c r="D800" i="16"/>
  <c r="H802" i="16"/>
  <c r="E805" i="16"/>
  <c r="G807" i="16"/>
  <c r="B810" i="16"/>
  <c r="D812" i="16"/>
  <c r="F814" i="16"/>
  <c r="H816" i="16"/>
  <c r="C819" i="16"/>
  <c r="E821" i="16"/>
  <c r="G823" i="16"/>
  <c r="B826" i="16"/>
  <c r="D828" i="16"/>
  <c r="F830" i="16"/>
  <c r="H832" i="16"/>
  <c r="C835" i="16"/>
  <c r="E837" i="16"/>
  <c r="G839" i="16"/>
  <c r="B842" i="16"/>
  <c r="D844" i="16"/>
  <c r="F846" i="16"/>
  <c r="H848" i="16"/>
  <c r="C851" i="16"/>
  <c r="E853" i="16"/>
  <c r="G855" i="16"/>
  <c r="B858" i="16"/>
  <c r="D860" i="16"/>
  <c r="F862" i="16"/>
  <c r="H864" i="16"/>
  <c r="C867" i="16"/>
  <c r="E869" i="16"/>
  <c r="G871" i="16"/>
  <c r="B874" i="16"/>
  <c r="D876" i="16"/>
  <c r="F878" i="16"/>
  <c r="H880" i="16"/>
  <c r="C883" i="16"/>
  <c r="E885" i="16"/>
  <c r="G887" i="16"/>
  <c r="B890" i="16"/>
  <c r="D892" i="16"/>
  <c r="F894" i="16"/>
  <c r="H896" i="16"/>
  <c r="C899" i="16"/>
  <c r="E901" i="16"/>
  <c r="G903" i="16"/>
  <c r="B906" i="16"/>
  <c r="D908" i="16"/>
  <c r="F910" i="16"/>
  <c r="H912" i="16"/>
  <c r="C915" i="16"/>
  <c r="E917" i="16"/>
  <c r="G919" i="16"/>
  <c r="B922" i="16"/>
  <c r="D924" i="16"/>
  <c r="F926" i="16"/>
  <c r="H928" i="16"/>
  <c r="C931" i="16"/>
  <c r="E933" i="16"/>
  <c r="G935" i="16"/>
  <c r="B938" i="16"/>
  <c r="D940" i="16"/>
  <c r="F942" i="16"/>
  <c r="H944" i="16"/>
  <c r="C947" i="16"/>
  <c r="E949" i="16"/>
  <c r="G951" i="16"/>
  <c r="B954" i="16"/>
  <c r="D956" i="16"/>
  <c r="F958" i="16"/>
  <c r="H960" i="16"/>
  <c r="C963" i="16"/>
  <c r="E965" i="16"/>
  <c r="G967" i="16"/>
  <c r="B970" i="16"/>
  <c r="D972" i="16"/>
  <c r="F974" i="16"/>
  <c r="H976" i="16"/>
  <c r="C979" i="16"/>
  <c r="E981" i="16"/>
  <c r="G983" i="16"/>
  <c r="B986" i="16"/>
  <c r="D988" i="16"/>
  <c r="F990" i="16"/>
  <c r="H992" i="16"/>
  <c r="C995" i="16"/>
  <c r="E997" i="16"/>
  <c r="G999" i="16"/>
  <c r="B1002" i="16"/>
  <c r="D1004" i="16"/>
  <c r="F1006" i="16"/>
  <c r="H1008" i="16"/>
  <c r="C1011" i="16"/>
  <c r="E1013" i="16"/>
  <c r="G1015" i="16"/>
  <c r="B1018" i="16"/>
  <c r="D1020" i="16"/>
  <c r="F1022" i="16"/>
  <c r="H1024" i="16"/>
  <c r="C1027" i="16"/>
  <c r="E1029" i="16"/>
  <c r="G1031" i="16"/>
  <c r="H454" i="16"/>
  <c r="G501" i="16"/>
  <c r="D536" i="16"/>
  <c r="G565" i="16"/>
  <c r="C592" i="16"/>
  <c r="H612" i="16"/>
  <c r="C631" i="16"/>
  <c r="E649" i="16"/>
  <c r="G667" i="16"/>
  <c r="C677" i="16"/>
  <c r="G683" i="16"/>
  <c r="D690" i="16"/>
  <c r="E695" i="16"/>
  <c r="H701" i="16"/>
  <c r="G706" i="16"/>
  <c r="G712" i="16"/>
  <c r="G717" i="16"/>
  <c r="F722" i="16"/>
  <c r="E727" i="16"/>
  <c r="F733" i="16"/>
  <c r="C738" i="16"/>
  <c r="G742" i="16"/>
  <c r="D747" i="16"/>
  <c r="H751" i="16"/>
  <c r="C756" i="16"/>
  <c r="E759" i="16"/>
  <c r="B763" i="16"/>
  <c r="H765" i="16"/>
  <c r="D769" i="16"/>
  <c r="C772" i="16"/>
  <c r="B775" i="16"/>
  <c r="E778" i="16"/>
  <c r="D781" i="16"/>
  <c r="B784" i="16"/>
  <c r="G786" i="16"/>
  <c r="H789" i="16"/>
  <c r="F792" i="16"/>
  <c r="D795" i="16"/>
  <c r="H797" i="16"/>
  <c r="E800" i="16"/>
  <c r="D803" i="16"/>
  <c r="F805" i="16"/>
  <c r="H807" i="16"/>
  <c r="C810" i="16"/>
  <c r="E812" i="16"/>
  <c r="G814" i="16"/>
  <c r="B817" i="16"/>
  <c r="D819" i="16"/>
  <c r="F821" i="16"/>
  <c r="H823" i="16"/>
  <c r="C826" i="16"/>
  <c r="E828" i="16"/>
  <c r="G830" i="16"/>
  <c r="B833" i="16"/>
  <c r="D835" i="16"/>
  <c r="F837" i="16"/>
  <c r="H839" i="16"/>
  <c r="C842" i="16"/>
  <c r="E844" i="16"/>
  <c r="G846" i="16"/>
  <c r="B849" i="16"/>
  <c r="D851" i="16"/>
  <c r="F853" i="16"/>
  <c r="H855" i="16"/>
  <c r="C858" i="16"/>
  <c r="E860" i="16"/>
  <c r="G862" i="16"/>
  <c r="B865" i="16"/>
  <c r="D867" i="16"/>
  <c r="F869" i="16"/>
  <c r="H871" i="16"/>
  <c r="C874" i="16"/>
  <c r="E876" i="16"/>
  <c r="G878" i="16"/>
  <c r="B881" i="16"/>
  <c r="D883" i="16"/>
  <c r="F885" i="16"/>
  <c r="H887" i="16"/>
  <c r="C890" i="16"/>
  <c r="E892" i="16"/>
  <c r="G894" i="16"/>
  <c r="B897" i="16"/>
  <c r="D899" i="16"/>
  <c r="F901" i="16"/>
  <c r="H903" i="16"/>
  <c r="C906" i="16"/>
  <c r="E908" i="16"/>
  <c r="G910" i="16"/>
  <c r="B913" i="16"/>
  <c r="D915" i="16"/>
  <c r="F917" i="16"/>
  <c r="H919" i="16"/>
  <c r="C922" i="16"/>
  <c r="E924" i="16"/>
  <c r="G926" i="16"/>
  <c r="B929" i="16"/>
  <c r="D931" i="16"/>
  <c r="F933" i="16"/>
  <c r="H935" i="16"/>
  <c r="C938" i="16"/>
  <c r="E940" i="16"/>
  <c r="G942" i="16"/>
  <c r="B945" i="16"/>
  <c r="D947" i="16"/>
  <c r="F949" i="16"/>
  <c r="H951" i="16"/>
  <c r="C954" i="16"/>
  <c r="E956" i="16"/>
  <c r="G958" i="16"/>
  <c r="B961" i="16"/>
  <c r="D963" i="16"/>
  <c r="F965" i="16"/>
  <c r="H967" i="16"/>
  <c r="C970" i="16"/>
  <c r="E972" i="16"/>
  <c r="G974" i="16"/>
  <c r="B977" i="16"/>
  <c r="D979" i="16"/>
  <c r="F981" i="16"/>
  <c r="H983" i="16"/>
  <c r="C986" i="16"/>
  <c r="E988" i="16"/>
  <c r="G990" i="16"/>
  <c r="B455" i="16"/>
  <c r="H501" i="16"/>
  <c r="E537" i="16"/>
  <c r="H565" i="16"/>
  <c r="D592" i="16"/>
  <c r="B613" i="16"/>
  <c r="D631" i="16"/>
  <c r="F649" i="16"/>
  <c r="H667" i="16"/>
  <c r="G678" i="16"/>
  <c r="H683" i="16"/>
  <c r="E690" i="16"/>
  <c r="B697" i="16"/>
  <c r="B702" i="16"/>
  <c r="H706" i="16"/>
  <c r="B713" i="16"/>
  <c r="H717" i="16"/>
  <c r="G722" i="16"/>
  <c r="G728" i="16"/>
  <c r="G733" i="16"/>
  <c r="D738" i="16"/>
  <c r="H742" i="16"/>
  <c r="E747" i="16"/>
  <c r="B752" i="16"/>
  <c r="D756" i="16"/>
  <c r="C760" i="16"/>
  <c r="C763" i="16"/>
  <c r="B766" i="16"/>
  <c r="E769" i="16"/>
  <c r="D772" i="16"/>
  <c r="C775" i="16"/>
  <c r="F778" i="16"/>
  <c r="E781" i="16"/>
  <c r="C784" i="16"/>
  <c r="H786" i="16"/>
  <c r="B790" i="16"/>
  <c r="G792" i="16"/>
  <c r="E795" i="16"/>
  <c r="B798" i="16"/>
  <c r="F800" i="16"/>
  <c r="E803" i="16"/>
  <c r="G805" i="16"/>
  <c r="B808" i="16"/>
  <c r="D810" i="16"/>
  <c r="F812" i="16"/>
  <c r="H814" i="16"/>
  <c r="C817" i="16"/>
  <c r="E819" i="16"/>
  <c r="G821" i="16"/>
  <c r="B824" i="16"/>
  <c r="D826" i="16"/>
  <c r="F828" i="16"/>
  <c r="H830" i="16"/>
  <c r="C833" i="16"/>
  <c r="E835" i="16"/>
  <c r="G837" i="16"/>
  <c r="B840" i="16"/>
  <c r="D842" i="16"/>
  <c r="F844" i="16"/>
  <c r="H846" i="16"/>
  <c r="C849" i="16"/>
  <c r="E851" i="16"/>
  <c r="G853" i="16"/>
  <c r="B856" i="16"/>
  <c r="D858" i="16"/>
  <c r="F860" i="16"/>
  <c r="H862" i="16"/>
  <c r="C865" i="16"/>
  <c r="E867" i="16"/>
  <c r="G869" i="16"/>
  <c r="B872" i="16"/>
  <c r="D874" i="16"/>
  <c r="F876" i="16"/>
  <c r="H878" i="16"/>
  <c r="C881" i="16"/>
  <c r="E883" i="16"/>
  <c r="G885" i="16"/>
  <c r="B888" i="16"/>
  <c r="D890" i="16"/>
  <c r="F892" i="16"/>
  <c r="H894" i="16"/>
  <c r="C897" i="16"/>
  <c r="E899" i="16"/>
  <c r="G901" i="16"/>
  <c r="B904" i="16"/>
  <c r="D906" i="16"/>
  <c r="F908" i="16"/>
  <c r="H910" i="16"/>
  <c r="C913" i="16"/>
  <c r="E915" i="16"/>
  <c r="G917" i="16"/>
  <c r="B920" i="16"/>
  <c r="D922" i="16"/>
  <c r="F924" i="16"/>
  <c r="H926" i="16"/>
  <c r="C929" i="16"/>
  <c r="E931" i="16"/>
  <c r="G933" i="16"/>
  <c r="B936" i="16"/>
  <c r="D938" i="16"/>
  <c r="F940" i="16"/>
  <c r="H942" i="16"/>
  <c r="C945" i="16"/>
  <c r="E947" i="16"/>
  <c r="G949" i="16"/>
  <c r="B952" i="16"/>
  <c r="D954" i="16"/>
  <c r="F956" i="16"/>
  <c r="H958" i="16"/>
  <c r="C961" i="16"/>
  <c r="E963" i="16"/>
  <c r="G965" i="16"/>
  <c r="B968" i="16"/>
  <c r="D970" i="16"/>
  <c r="F972" i="16"/>
  <c r="H974" i="16"/>
  <c r="C977" i="16"/>
  <c r="E979" i="16"/>
  <c r="G981" i="16"/>
  <c r="B984" i="16"/>
  <c r="D986" i="16"/>
  <c r="F988" i="16"/>
  <c r="H990" i="16"/>
  <c r="C993" i="16"/>
  <c r="E995" i="16"/>
  <c r="G997" i="16"/>
  <c r="B1000" i="16"/>
  <c r="D1002" i="16"/>
  <c r="F1004" i="16"/>
  <c r="H1006" i="16"/>
  <c r="C1009" i="16"/>
  <c r="E1011" i="16"/>
  <c r="G1013" i="16"/>
  <c r="B1016" i="16"/>
  <c r="D1018" i="16"/>
  <c r="F1020" i="16"/>
  <c r="H1022" i="16"/>
  <c r="C1025" i="16"/>
  <c r="E1027" i="16"/>
  <c r="G1029" i="16"/>
  <c r="D460" i="16"/>
  <c r="F506" i="16"/>
  <c r="F540" i="16"/>
  <c r="E569" i="16"/>
  <c r="H594" i="16"/>
  <c r="C615" i="16"/>
  <c r="E633" i="16"/>
  <c r="G651" i="16"/>
  <c r="B668" i="16"/>
  <c r="H678" i="16"/>
  <c r="B684" i="16"/>
  <c r="F690" i="16"/>
  <c r="C697" i="16"/>
  <c r="C702" i="16"/>
  <c r="C708" i="16"/>
  <c r="C713" i="16"/>
  <c r="B718" i="16"/>
  <c r="H722" i="16"/>
  <c r="B729" i="16"/>
  <c r="H733" i="16"/>
  <c r="E738" i="16"/>
  <c r="B743" i="16"/>
  <c r="F747" i="16"/>
  <c r="C752" i="16"/>
  <c r="E756" i="16"/>
  <c r="E760" i="16"/>
  <c r="D763" i="16"/>
  <c r="C766" i="16"/>
  <c r="F769" i="16"/>
  <c r="E772" i="16"/>
  <c r="D775" i="16"/>
  <c r="G778" i="16"/>
  <c r="F781" i="16"/>
  <c r="D784" i="16"/>
  <c r="E787" i="16"/>
  <c r="C790" i="16"/>
  <c r="H792" i="16"/>
  <c r="F795" i="16"/>
  <c r="C798" i="16"/>
  <c r="B801" i="16"/>
  <c r="F803" i="16"/>
  <c r="H805" i="16"/>
  <c r="C808" i="16"/>
  <c r="E810" i="16"/>
  <c r="G812" i="16"/>
  <c r="B815" i="16"/>
  <c r="D817" i="16"/>
  <c r="F819" i="16"/>
  <c r="H821" i="16"/>
  <c r="C824" i="16"/>
  <c r="E826" i="16"/>
  <c r="G828" i="16"/>
  <c r="B831" i="16"/>
  <c r="D833" i="16"/>
  <c r="F835" i="16"/>
  <c r="H837" i="16"/>
  <c r="C840" i="16"/>
  <c r="E842" i="16"/>
  <c r="G844" i="16"/>
  <c r="B847" i="16"/>
  <c r="D849" i="16"/>
  <c r="F851" i="16"/>
  <c r="H853" i="16"/>
  <c r="C856" i="16"/>
  <c r="E858" i="16"/>
  <c r="G860" i="16"/>
  <c r="B863" i="16"/>
  <c r="D865" i="16"/>
  <c r="F867" i="16"/>
  <c r="H869" i="16"/>
  <c r="C872" i="16"/>
  <c r="E874" i="16"/>
  <c r="G876" i="16"/>
  <c r="B879" i="16"/>
  <c r="D881" i="16"/>
  <c r="F883" i="16"/>
  <c r="H885" i="16"/>
  <c r="C888" i="16"/>
  <c r="E890" i="16"/>
  <c r="G892" i="16"/>
  <c r="B895" i="16"/>
  <c r="D897" i="16"/>
  <c r="F899" i="16"/>
  <c r="H901" i="16"/>
  <c r="C904" i="16"/>
  <c r="E906" i="16"/>
  <c r="G908" i="16"/>
  <c r="B911" i="16"/>
  <c r="D913" i="16"/>
  <c r="F915" i="16"/>
  <c r="H917" i="16"/>
  <c r="C920" i="16"/>
  <c r="E922" i="16"/>
  <c r="G924" i="16"/>
  <c r="B927" i="16"/>
  <c r="D929" i="16"/>
  <c r="F931" i="16"/>
  <c r="H933" i="16"/>
  <c r="C936" i="16"/>
  <c r="E938" i="16"/>
  <c r="G940" i="16"/>
  <c r="B943" i="16"/>
  <c r="D945" i="16"/>
  <c r="F947" i="16"/>
  <c r="H949" i="16"/>
  <c r="C952" i="16"/>
  <c r="E954" i="16"/>
  <c r="G956" i="16"/>
  <c r="B959" i="16"/>
  <c r="D961" i="16"/>
  <c r="F963" i="16"/>
  <c r="H965" i="16"/>
  <c r="C968" i="16"/>
  <c r="E970" i="16"/>
  <c r="G972" i="16"/>
  <c r="B975" i="16"/>
  <c r="D977" i="16"/>
  <c r="F979" i="16"/>
  <c r="H981" i="16"/>
  <c r="C984" i="16"/>
  <c r="E986" i="16"/>
  <c r="G988" i="16"/>
  <c r="B991" i="16"/>
  <c r="B462" i="16"/>
  <c r="G507" i="16"/>
  <c r="G540" i="16"/>
  <c r="F569" i="16"/>
  <c r="B595" i="16"/>
  <c r="D615" i="16"/>
  <c r="F633" i="16"/>
  <c r="H651" i="16"/>
  <c r="B670" i="16"/>
  <c r="B679" i="16"/>
  <c r="F685" i="16"/>
  <c r="G690" i="16"/>
  <c r="D697" i="16"/>
  <c r="D702" i="16"/>
  <c r="E708" i="16"/>
  <c r="D713" i="16"/>
  <c r="C718" i="16"/>
  <c r="C724" i="16"/>
  <c r="C729" i="16"/>
  <c r="B734" i="16"/>
  <c r="F738" i="16"/>
  <c r="C743" i="16"/>
  <c r="G747" i="16"/>
  <c r="D752" i="16"/>
  <c r="F756" i="16"/>
  <c r="F760" i="16"/>
  <c r="E763" i="16"/>
  <c r="D766" i="16"/>
  <c r="G769" i="16"/>
  <c r="F772" i="16"/>
  <c r="E775" i="16"/>
  <c r="H778" i="16"/>
  <c r="G781" i="16"/>
  <c r="E784" i="16"/>
  <c r="F787" i="16"/>
  <c r="D790" i="16"/>
  <c r="B793" i="16"/>
  <c r="G795" i="16"/>
  <c r="D798" i="16"/>
  <c r="C801" i="16"/>
  <c r="G803" i="16"/>
  <c r="B806" i="16"/>
  <c r="D808" i="16"/>
  <c r="F810" i="16"/>
  <c r="H812" i="16"/>
  <c r="C815" i="16"/>
  <c r="E817" i="16"/>
  <c r="G819" i="16"/>
  <c r="B822" i="16"/>
  <c r="D824" i="16"/>
  <c r="F826" i="16"/>
  <c r="H828" i="16"/>
  <c r="C831" i="16"/>
  <c r="E833" i="16"/>
  <c r="G835" i="16"/>
  <c r="B838" i="16"/>
  <c r="D840" i="16"/>
  <c r="F842" i="16"/>
  <c r="H844" i="16"/>
  <c r="C847" i="16"/>
  <c r="E849" i="16"/>
  <c r="G851" i="16"/>
  <c r="B854" i="16"/>
  <c r="D856" i="16"/>
  <c r="F858" i="16"/>
  <c r="H860" i="16"/>
  <c r="C863" i="16"/>
  <c r="E865" i="16"/>
  <c r="G867" i="16"/>
  <c r="B870" i="16"/>
  <c r="D872" i="16"/>
  <c r="F874" i="16"/>
  <c r="H876" i="16"/>
  <c r="C879" i="16"/>
  <c r="E881" i="16"/>
  <c r="G883" i="16"/>
  <c r="B886" i="16"/>
  <c r="D888" i="16"/>
  <c r="F890" i="16"/>
  <c r="H892" i="16"/>
  <c r="C895" i="16"/>
  <c r="E897" i="16"/>
  <c r="G899" i="16"/>
  <c r="B902" i="16"/>
  <c r="D904" i="16"/>
  <c r="F906" i="16"/>
  <c r="H908" i="16"/>
  <c r="C911" i="16"/>
  <c r="G214" i="16"/>
  <c r="D467" i="16"/>
  <c r="C511" i="16"/>
  <c r="H544" i="16"/>
  <c r="E572" i="16"/>
  <c r="E597" i="16"/>
  <c r="E617" i="16"/>
  <c r="G635" i="16"/>
  <c r="B654" i="16"/>
  <c r="C670" i="16"/>
  <c r="C679" i="16"/>
  <c r="G685" i="16"/>
  <c r="H690" i="16"/>
  <c r="E697" i="16"/>
  <c r="F703" i="16"/>
  <c r="F708" i="16"/>
  <c r="E713" i="16"/>
  <c r="D718" i="16"/>
  <c r="E724" i="16"/>
  <c r="D729" i="16"/>
  <c r="C734" i="16"/>
  <c r="G738" i="16"/>
  <c r="D743" i="16"/>
  <c r="H747" i="16"/>
  <c r="E752" i="16"/>
  <c r="G756" i="16"/>
  <c r="G760" i="16"/>
  <c r="F763" i="16"/>
  <c r="B767" i="16"/>
  <c r="H769" i="16"/>
  <c r="G772" i="16"/>
  <c r="C776" i="16"/>
  <c r="B779" i="16"/>
  <c r="H781" i="16"/>
  <c r="F784" i="16"/>
  <c r="G787" i="16"/>
  <c r="E790" i="16"/>
  <c r="C793" i="16"/>
  <c r="H795" i="16"/>
  <c r="G798" i="16"/>
  <c r="D801" i="16"/>
  <c r="H803" i="16"/>
  <c r="C806" i="16"/>
  <c r="E808" i="16"/>
  <c r="G810" i="16"/>
  <c r="B813" i="16"/>
  <c r="D815" i="16"/>
  <c r="F817" i="16"/>
  <c r="H819" i="16"/>
  <c r="C822" i="16"/>
  <c r="E824" i="16"/>
  <c r="G826" i="16"/>
  <c r="B829" i="16"/>
  <c r="D831" i="16"/>
  <c r="F833" i="16"/>
  <c r="H835" i="16"/>
  <c r="C838" i="16"/>
  <c r="E840" i="16"/>
  <c r="G842" i="16"/>
  <c r="B845" i="16"/>
  <c r="D847" i="16"/>
  <c r="F849" i="16"/>
  <c r="H851" i="16"/>
  <c r="C854" i="16"/>
  <c r="E856" i="16"/>
  <c r="G858" i="16"/>
  <c r="B861" i="16"/>
  <c r="D863" i="16"/>
  <c r="F865" i="16"/>
  <c r="H867" i="16"/>
  <c r="C870" i="16"/>
  <c r="E872" i="16"/>
  <c r="G874" i="16"/>
  <c r="B877" i="16"/>
  <c r="D879" i="16"/>
  <c r="F881" i="16"/>
  <c r="H883" i="16"/>
  <c r="C886" i="16"/>
  <c r="E888" i="16"/>
  <c r="G890" i="16"/>
  <c r="B893" i="16"/>
  <c r="D895" i="16"/>
  <c r="F897" i="16"/>
  <c r="H899" i="16"/>
  <c r="C902" i="16"/>
  <c r="E904" i="16"/>
  <c r="G906" i="16"/>
  <c r="B909" i="16"/>
  <c r="D911" i="16"/>
  <c r="F913" i="16"/>
  <c r="H915" i="16"/>
  <c r="C918" i="16"/>
  <c r="E920" i="16"/>
  <c r="G922" i="16"/>
  <c r="B925" i="16"/>
  <c r="D927" i="16"/>
  <c r="F929" i="16"/>
  <c r="H931" i="16"/>
  <c r="C934" i="16"/>
  <c r="E936" i="16"/>
  <c r="G938" i="16"/>
  <c r="B941" i="16"/>
  <c r="D943" i="16"/>
  <c r="F945" i="16"/>
  <c r="H947" i="16"/>
  <c r="C950" i="16"/>
  <c r="E952" i="16"/>
  <c r="G954" i="16"/>
  <c r="B957" i="16"/>
  <c r="D959" i="16"/>
  <c r="F961" i="16"/>
  <c r="H236" i="16"/>
  <c r="E467" i="16"/>
  <c r="D512" i="16"/>
  <c r="B545" i="16"/>
  <c r="F572" i="16"/>
  <c r="F597" i="16"/>
  <c r="F617" i="16"/>
  <c r="H635" i="16"/>
  <c r="C654" i="16"/>
  <c r="D670" i="16"/>
  <c r="D679" i="16"/>
  <c r="H685" i="16"/>
  <c r="E692" i="16"/>
  <c r="F697" i="16"/>
  <c r="H703" i="16"/>
  <c r="G708" i="16"/>
  <c r="F713" i="16"/>
  <c r="F719" i="16"/>
  <c r="F724" i="16"/>
  <c r="E729" i="16"/>
  <c r="D734" i="16"/>
  <c r="H738" i="16"/>
  <c r="E743" i="16"/>
  <c r="B748" i="16"/>
  <c r="F752" i="16"/>
  <c r="H756" i="16"/>
  <c r="H760" i="16"/>
  <c r="G763" i="16"/>
  <c r="C767" i="16"/>
  <c r="B770" i="16"/>
  <c r="H772" i="16"/>
  <c r="D776" i="16"/>
  <c r="C779" i="16"/>
  <c r="B782" i="16"/>
  <c r="C785" i="16"/>
  <c r="H787" i="16"/>
  <c r="F790" i="16"/>
  <c r="D793" i="16"/>
  <c r="B796" i="16"/>
  <c r="H798" i="16"/>
  <c r="E801" i="16"/>
  <c r="B804" i="16"/>
  <c r="D806" i="16"/>
  <c r="F808" i="16"/>
  <c r="H810" i="16"/>
  <c r="C813" i="16"/>
  <c r="E815" i="16"/>
  <c r="G817" i="16"/>
  <c r="B820" i="16"/>
  <c r="D822" i="16"/>
  <c r="F824" i="16"/>
  <c r="H826" i="16"/>
  <c r="C829" i="16"/>
  <c r="E831" i="16"/>
  <c r="G833" i="16"/>
  <c r="B836" i="16"/>
  <c r="D838" i="16"/>
  <c r="F840" i="16"/>
  <c r="H842" i="16"/>
  <c r="C845" i="16"/>
  <c r="E847" i="16"/>
  <c r="G849" i="16"/>
  <c r="B852" i="16"/>
  <c r="D854" i="16"/>
  <c r="F856" i="16"/>
  <c r="H858" i="16"/>
  <c r="C861" i="16"/>
  <c r="E863" i="16"/>
  <c r="G865" i="16"/>
  <c r="B868" i="16"/>
  <c r="D870" i="16"/>
  <c r="F872" i="16"/>
  <c r="H874" i="16"/>
  <c r="C877" i="16"/>
  <c r="E879" i="16"/>
  <c r="G881" i="16"/>
  <c r="B884" i="16"/>
  <c r="D886" i="16"/>
  <c r="F888" i="16"/>
  <c r="H890" i="16"/>
  <c r="C893" i="16"/>
  <c r="E895" i="16"/>
  <c r="G897" i="16"/>
  <c r="B900" i="16"/>
  <c r="D902" i="16"/>
  <c r="F904" i="16"/>
  <c r="H906" i="16"/>
  <c r="C909" i="16"/>
  <c r="E911" i="16"/>
  <c r="G913" i="16"/>
  <c r="B916" i="16"/>
  <c r="D918" i="16"/>
  <c r="F920" i="16"/>
  <c r="H922" i="16"/>
  <c r="C925" i="16"/>
  <c r="E927" i="16"/>
  <c r="G929" i="16"/>
  <c r="B932" i="16"/>
  <c r="D934" i="16"/>
  <c r="F936" i="16"/>
  <c r="H938" i="16"/>
  <c r="C941" i="16"/>
  <c r="E943" i="16"/>
  <c r="G945" i="16"/>
  <c r="B948" i="16"/>
  <c r="D950" i="16"/>
  <c r="C328" i="16"/>
  <c r="B474" i="16"/>
  <c r="G515" i="16"/>
  <c r="C549" i="16"/>
  <c r="C576" i="16"/>
  <c r="B600" i="16"/>
  <c r="G619" i="16"/>
  <c r="B638" i="16"/>
  <c r="D656" i="16"/>
  <c r="D672" i="16"/>
  <c r="E679" i="16"/>
  <c r="B686" i="16"/>
  <c r="F692" i="16"/>
  <c r="G697" i="16"/>
  <c r="B704" i="16"/>
  <c r="H708" i="16"/>
  <c r="G713" i="16"/>
  <c r="H719" i="16"/>
  <c r="G724" i="16"/>
  <c r="F729" i="16"/>
  <c r="F735" i="16"/>
  <c r="C740" i="16"/>
  <c r="G744" i="16"/>
  <c r="D749" i="16"/>
  <c r="G753" i="16"/>
  <c r="B757" i="16"/>
  <c r="B761" i="16"/>
  <c r="H763" i="16"/>
  <c r="D767" i="16"/>
  <c r="C770" i="16"/>
  <c r="B773" i="16"/>
  <c r="E776" i="16"/>
  <c r="D779" i="16"/>
  <c r="C782" i="16"/>
  <c r="D785" i="16"/>
  <c r="B788" i="16"/>
  <c r="G790" i="16"/>
  <c r="E793" i="16"/>
  <c r="E796" i="16"/>
  <c r="B799" i="16"/>
  <c r="F801" i="16"/>
  <c r="C804" i="16"/>
  <c r="E806" i="16"/>
  <c r="G808" i="16"/>
  <c r="B811" i="16"/>
  <c r="D813" i="16"/>
  <c r="F815" i="16"/>
  <c r="H817" i="16"/>
  <c r="C820" i="16"/>
  <c r="E822" i="16"/>
  <c r="G824" i="16"/>
  <c r="B827" i="16"/>
  <c r="D829" i="16"/>
  <c r="F831" i="16"/>
  <c r="H833" i="16"/>
  <c r="C836" i="16"/>
  <c r="E838" i="16"/>
  <c r="G840" i="16"/>
  <c r="B843" i="16"/>
  <c r="D845" i="16"/>
  <c r="F847" i="16"/>
  <c r="H849" i="16"/>
  <c r="C852" i="16"/>
  <c r="E854" i="16"/>
  <c r="G856" i="16"/>
  <c r="B859" i="16"/>
  <c r="D861" i="16"/>
  <c r="F863" i="16"/>
  <c r="H865" i="16"/>
  <c r="C868" i="16"/>
  <c r="E870" i="16"/>
  <c r="G872" i="16"/>
  <c r="B875" i="16"/>
  <c r="D877" i="16"/>
  <c r="F879" i="16"/>
  <c r="H881" i="16"/>
  <c r="C884" i="16"/>
  <c r="E886" i="16"/>
  <c r="C336" i="16"/>
  <c r="C474" i="16"/>
  <c r="H516" i="16"/>
  <c r="D549" i="16"/>
  <c r="D576" i="16"/>
  <c r="C600" i="16"/>
  <c r="H619" i="16"/>
  <c r="C638" i="16"/>
  <c r="E656" i="16"/>
  <c r="E672" i="16"/>
  <c r="B681" i="16"/>
  <c r="C686" i="16"/>
  <c r="G692" i="16"/>
  <c r="D699" i="16"/>
  <c r="C704" i="16"/>
  <c r="B709" i="16"/>
  <c r="B715" i="16"/>
  <c r="B720" i="16"/>
  <c r="H724" i="16"/>
  <c r="G729" i="16"/>
  <c r="G735" i="16"/>
  <c r="D740" i="16"/>
  <c r="H744" i="16"/>
  <c r="E749" i="16"/>
  <c r="H753" i="16"/>
  <c r="C757" i="16"/>
  <c r="C761" i="16"/>
  <c r="B764" i="16"/>
  <c r="E767" i="16"/>
  <c r="D770" i="16"/>
  <c r="C773" i="16"/>
  <c r="F776" i="16"/>
  <c r="E779" i="16"/>
  <c r="D782" i="16"/>
  <c r="E785" i="16"/>
  <c r="C788" i="16"/>
  <c r="H790" i="16"/>
  <c r="F793" i="16"/>
  <c r="F796" i="16"/>
  <c r="C799" i="16"/>
  <c r="G801" i="16"/>
  <c r="D804" i="16"/>
  <c r="F806" i="16"/>
  <c r="H808" i="16"/>
  <c r="C811" i="16"/>
  <c r="E813" i="16"/>
  <c r="G815" i="16"/>
  <c r="B818" i="16"/>
  <c r="D820" i="16"/>
  <c r="F822" i="16"/>
  <c r="H824" i="16"/>
  <c r="C827" i="16"/>
  <c r="E829" i="16"/>
  <c r="G831" i="16"/>
  <c r="B834" i="16"/>
  <c r="D836" i="16"/>
  <c r="F838" i="16"/>
  <c r="H840" i="16"/>
  <c r="C843" i="16"/>
  <c r="E845" i="16"/>
  <c r="G847" i="16"/>
  <c r="B850" i="16"/>
  <c r="D852" i="16"/>
  <c r="F854" i="16"/>
  <c r="H856" i="16"/>
  <c r="C859" i="16"/>
  <c r="E861" i="16"/>
  <c r="G863" i="16"/>
  <c r="B866" i="16"/>
  <c r="D868" i="16"/>
  <c r="F870" i="16"/>
  <c r="H872" i="16"/>
  <c r="C875" i="16"/>
  <c r="E877" i="16"/>
  <c r="G879" i="16"/>
  <c r="B882" i="16"/>
  <c r="D884" i="16"/>
  <c r="F886" i="16"/>
  <c r="H888" i="16"/>
  <c r="C891" i="16"/>
  <c r="E893" i="16"/>
  <c r="G895" i="16"/>
  <c r="B898" i="16"/>
  <c r="D900" i="16"/>
  <c r="F902" i="16"/>
  <c r="H375" i="16"/>
  <c r="C479" i="16"/>
  <c r="C520" i="16"/>
  <c r="D552" i="16"/>
  <c r="C579" i="16"/>
  <c r="F602" i="16"/>
  <c r="B622" i="16"/>
  <c r="D640" i="16"/>
  <c r="F658" i="16"/>
  <c r="F672" i="16"/>
  <c r="C681" i="16"/>
  <c r="D686" i="16"/>
  <c r="H692" i="16"/>
  <c r="E699" i="16"/>
  <c r="D704" i="16"/>
  <c r="C709" i="16"/>
  <c r="D715" i="16"/>
  <c r="C720" i="16"/>
  <c r="B725" i="16"/>
  <c r="B731" i="16"/>
  <c r="H735" i="16"/>
  <c r="E740" i="16"/>
  <c r="B745" i="16"/>
  <c r="F749" i="16"/>
  <c r="B754" i="16"/>
  <c r="D758" i="16"/>
  <c r="D761" i="16"/>
  <c r="G764" i="16"/>
  <c r="F767" i="16"/>
  <c r="E770" i="16"/>
  <c r="H773" i="16"/>
  <c r="G776" i="16"/>
  <c r="F779" i="16"/>
  <c r="H782" i="16"/>
  <c r="F785" i="16"/>
  <c r="D788" i="16"/>
  <c r="B791" i="16"/>
  <c r="G793" i="16"/>
  <c r="G796" i="16"/>
  <c r="D799" i="16"/>
  <c r="H801" i="16"/>
  <c r="E804" i="16"/>
  <c r="G806" i="16"/>
  <c r="B809" i="16"/>
  <c r="D811" i="16"/>
  <c r="F813" i="16"/>
  <c r="H815" i="16"/>
  <c r="C818" i="16"/>
  <c r="E820" i="16"/>
  <c r="G822" i="16"/>
  <c r="B825" i="16"/>
  <c r="D827" i="16"/>
  <c r="F829" i="16"/>
  <c r="H831" i="16"/>
  <c r="C834" i="16"/>
  <c r="E836" i="16"/>
  <c r="G838" i="16"/>
  <c r="B841" i="16"/>
  <c r="D843" i="16"/>
  <c r="F845" i="16"/>
  <c r="H847" i="16"/>
  <c r="C850" i="16"/>
  <c r="E852" i="16"/>
  <c r="G854" i="16"/>
  <c r="B857" i="16"/>
  <c r="D859" i="16"/>
  <c r="F861" i="16"/>
  <c r="H863" i="16"/>
  <c r="C866" i="16"/>
  <c r="E868" i="16"/>
  <c r="G870" i="16"/>
  <c r="B873" i="16"/>
  <c r="D875" i="16"/>
  <c r="F877" i="16"/>
  <c r="H879" i="16"/>
  <c r="C882" i="16"/>
  <c r="E884" i="16"/>
  <c r="G886" i="16"/>
  <c r="B889" i="16"/>
  <c r="D891" i="16"/>
  <c r="F893" i="16"/>
  <c r="H895" i="16"/>
  <c r="C898" i="16"/>
  <c r="E900" i="16"/>
  <c r="G902" i="16"/>
  <c r="F409" i="16"/>
  <c r="H485" i="16"/>
  <c r="F524" i="16"/>
  <c r="C556" i="16"/>
  <c r="B583" i="16"/>
  <c r="F605" i="16"/>
  <c r="E624" i="16"/>
  <c r="G642" i="16"/>
  <c r="B661" i="16"/>
  <c r="H674" i="16"/>
  <c r="F681" i="16"/>
  <c r="C688" i="16"/>
  <c r="G694" i="16"/>
  <c r="H699" i="16"/>
  <c r="H705" i="16"/>
  <c r="H710" i="16"/>
  <c r="G715" i="16"/>
  <c r="F720" i="16"/>
  <c r="G726" i="16"/>
  <c r="F731" i="16"/>
  <c r="D736" i="16"/>
  <c r="H740" i="16"/>
  <c r="E745" i="16"/>
  <c r="B750" i="16"/>
  <c r="E754" i="16"/>
  <c r="G758" i="16"/>
  <c r="G761" i="16"/>
  <c r="C765" i="16"/>
  <c r="B768" i="16"/>
  <c r="H770" i="16"/>
  <c r="D774" i="16"/>
  <c r="C777" i="16"/>
  <c r="B780" i="16"/>
  <c r="D783" i="16"/>
  <c r="B786" i="16"/>
  <c r="G788" i="16"/>
  <c r="E791" i="16"/>
  <c r="F794" i="16"/>
  <c r="C797" i="16"/>
  <c r="G799" i="16"/>
  <c r="D802" i="16"/>
  <c r="H804" i="16"/>
  <c r="C807" i="16"/>
  <c r="E809" i="16"/>
  <c r="G811" i="16"/>
  <c r="B814" i="16"/>
  <c r="D816" i="16"/>
  <c r="F818" i="16"/>
  <c r="H820" i="16"/>
  <c r="C823" i="16"/>
  <c r="E825" i="16"/>
  <c r="G827" i="16"/>
  <c r="B830" i="16"/>
  <c r="D832" i="16"/>
  <c r="F834" i="16"/>
  <c r="H836" i="16"/>
  <c r="C839" i="16"/>
  <c r="E841" i="16"/>
  <c r="G843" i="16"/>
  <c r="B846" i="16"/>
  <c r="D848" i="16"/>
  <c r="F850" i="16"/>
  <c r="H852" i="16"/>
  <c r="C855" i="16"/>
  <c r="E857" i="16"/>
  <c r="G859" i="16"/>
  <c r="B862" i="16"/>
  <c r="D864" i="16"/>
  <c r="F866" i="16"/>
  <c r="H868" i="16"/>
  <c r="C871" i="16"/>
  <c r="E873" i="16"/>
  <c r="G875" i="16"/>
  <c r="B878" i="16"/>
  <c r="E1043" i="16"/>
  <c r="D1040" i="16"/>
  <c r="F1037" i="16"/>
  <c r="H1034" i="16"/>
  <c r="C1032" i="16"/>
  <c r="F1028" i="16"/>
  <c r="F1025" i="16"/>
  <c r="H1021" i="16"/>
  <c r="H1018" i="16"/>
  <c r="C1015" i="16"/>
  <c r="C1012" i="16"/>
  <c r="B1009" i="16"/>
  <c r="E1005" i="16"/>
  <c r="E1002" i="16"/>
  <c r="G998" i="16"/>
  <c r="G995" i="16"/>
  <c r="B992" i="16"/>
  <c r="G987" i="16"/>
  <c r="E984" i="16"/>
  <c r="C980" i="16"/>
  <c r="H975" i="16"/>
  <c r="F971" i="16"/>
  <c r="D968" i="16"/>
  <c r="B964" i="16"/>
  <c r="F959" i="16"/>
  <c r="B955" i="16"/>
  <c r="E950" i="16"/>
  <c r="D944" i="16"/>
  <c r="E939" i="16"/>
  <c r="F934" i="16"/>
  <c r="E929" i="16"/>
  <c r="F923" i="16"/>
  <c r="G918" i="16"/>
  <c r="H913" i="16"/>
  <c r="E907" i="16"/>
  <c r="F900" i="16"/>
  <c r="E891" i="16"/>
  <c r="C880" i="16"/>
  <c r="H861" i="16"/>
  <c r="F843" i="16"/>
  <c r="D825" i="16"/>
  <c r="B807" i="16"/>
  <c r="H785" i="16"/>
  <c r="F761" i="16"/>
  <c r="E726" i="16"/>
  <c r="E681" i="16"/>
  <c r="E524" i="16"/>
  <c r="A11" i="16"/>
  <c r="D1043" i="16"/>
  <c r="C1040" i="16"/>
  <c r="E1037" i="16"/>
  <c r="G1034" i="16"/>
  <c r="B1032" i="16"/>
  <c r="E1028" i="16"/>
  <c r="E1025" i="16"/>
  <c r="G1021" i="16"/>
  <c r="G1018" i="16"/>
  <c r="B1015" i="16"/>
  <c r="B1012" i="16"/>
  <c r="D1008" i="16"/>
  <c r="D1005" i="16"/>
  <c r="C1002" i="16"/>
  <c r="F998" i="16"/>
  <c r="F995" i="16"/>
  <c r="H991" i="16"/>
  <c r="F987" i="16"/>
  <c r="D984" i="16"/>
  <c r="B980" i="16"/>
  <c r="G975" i="16"/>
  <c r="E971" i="16"/>
  <c r="C967" i="16"/>
  <c r="H963" i="16"/>
  <c r="E959" i="16"/>
  <c r="H954" i="16"/>
  <c r="B950" i="16"/>
  <c r="C944" i="16"/>
  <c r="D939" i="16"/>
  <c r="E934" i="16"/>
  <c r="D928" i="16"/>
  <c r="E923" i="16"/>
  <c r="F918" i="16"/>
  <c r="E913" i="16"/>
  <c r="D907" i="16"/>
  <c r="C900" i="16"/>
  <c r="B891" i="16"/>
  <c r="B880" i="16"/>
  <c r="G861" i="16"/>
  <c r="E843" i="16"/>
  <c r="C825" i="16"/>
  <c r="H806" i="16"/>
  <c r="G785" i="16"/>
  <c r="E761" i="16"/>
  <c r="C725" i="16"/>
  <c r="D681" i="16"/>
  <c r="D520" i="16"/>
  <c r="C1043" i="16"/>
  <c r="B1040" i="16"/>
  <c r="D1037" i="16"/>
  <c r="F1034" i="16"/>
  <c r="H1031" i="16"/>
  <c r="D1028" i="16"/>
  <c r="D1025" i="16"/>
  <c r="F1021" i="16"/>
  <c r="F1018" i="16"/>
  <c r="H1014" i="16"/>
  <c r="H1011" i="16"/>
  <c r="C1008" i="16"/>
  <c r="C1005" i="16"/>
  <c r="E1001" i="16"/>
  <c r="E998" i="16"/>
  <c r="D995" i="16"/>
  <c r="G991" i="16"/>
  <c r="E987" i="16"/>
  <c r="C983" i="16"/>
  <c r="H979" i="16"/>
  <c r="F975" i="16"/>
  <c r="D971" i="16"/>
  <c r="B967" i="16"/>
  <c r="G963" i="16"/>
  <c r="C959" i="16"/>
  <c r="F954" i="16"/>
  <c r="H948" i="16"/>
  <c r="B944" i="16"/>
  <c r="C939" i="16"/>
  <c r="B934" i="16"/>
  <c r="C928" i="16"/>
  <c r="D923" i="16"/>
  <c r="E918" i="16"/>
  <c r="D912" i="16"/>
  <c r="C907" i="16"/>
  <c r="F898" i="16"/>
  <c r="E889" i="16"/>
  <c r="H877" i="16"/>
  <c r="F859" i="16"/>
  <c r="D841" i="16"/>
  <c r="B823" i="16"/>
  <c r="G804" i="16"/>
  <c r="C783" i="16"/>
  <c r="F758" i="16"/>
  <c r="E720" i="16"/>
  <c r="G674" i="16"/>
  <c r="G485" i="16"/>
  <c r="F1042" i="16"/>
  <c r="H1039" i="16"/>
  <c r="C1037" i="16"/>
  <c r="E1034" i="16"/>
  <c r="C1031" i="16"/>
  <c r="C1028" i="16"/>
  <c r="B1025" i="16"/>
  <c r="E1021" i="16"/>
  <c r="E1018" i="16"/>
  <c r="G1014" i="16"/>
  <c r="G1011" i="16"/>
  <c r="B1008" i="16"/>
  <c r="B1005" i="16"/>
  <c r="D1001" i="16"/>
  <c r="D998" i="16"/>
  <c r="F994" i="16"/>
  <c r="F991" i="16"/>
  <c r="D987" i="16"/>
  <c r="B983" i="16"/>
  <c r="G979" i="16"/>
  <c r="E975" i="16"/>
  <c r="C971" i="16"/>
  <c r="H966" i="16"/>
  <c r="F962" i="16"/>
  <c r="B958" i="16"/>
  <c r="E953" i="16"/>
  <c r="G948" i="16"/>
  <c r="H943" i="16"/>
  <c r="B939" i="16"/>
  <c r="H932" i="16"/>
  <c r="B928" i="16"/>
  <c r="C923" i="16"/>
  <c r="B918" i="16"/>
  <c r="C912" i="16"/>
  <c r="B907" i="16"/>
  <c r="E898" i="16"/>
  <c r="D889" i="16"/>
  <c r="G877" i="16"/>
  <c r="E859" i="16"/>
  <c r="C841" i="16"/>
  <c r="H822" i="16"/>
  <c r="F804" i="16"/>
  <c r="B783" i="16"/>
  <c r="E758" i="16"/>
  <c r="D720" i="16"/>
  <c r="F674" i="16"/>
  <c r="G480" i="16"/>
  <c r="A22" i="16"/>
  <c r="E1042" i="16"/>
  <c r="G1039" i="16"/>
  <c r="B1037" i="16"/>
  <c r="D1034" i="16"/>
  <c r="B1031" i="16"/>
  <c r="B1028" i="16"/>
  <c r="D1024" i="16"/>
  <c r="D1021" i="16"/>
  <c r="C1018" i="16"/>
  <c r="F1014" i="16"/>
  <c r="F1011" i="16"/>
  <c r="H1007" i="16"/>
  <c r="H1004" i="16"/>
  <c r="C1001" i="16"/>
  <c r="C998" i="16"/>
  <c r="E994" i="16"/>
  <c r="E991" i="16"/>
  <c r="C987" i="16"/>
  <c r="H982" i="16"/>
  <c r="F978" i="16"/>
  <c r="D975" i="16"/>
  <c r="B971" i="16"/>
  <c r="G966" i="16"/>
  <c r="E962" i="16"/>
  <c r="H957" i="16"/>
  <c r="D953" i="16"/>
  <c r="F948" i="16"/>
  <c r="G943" i="16"/>
  <c r="F938" i="16"/>
  <c r="G932" i="16"/>
  <c r="H927" i="16"/>
  <c r="B923" i="16"/>
  <c r="H916" i="16"/>
  <c r="B912" i="16"/>
  <c r="E905" i="16"/>
  <c r="D898" i="16"/>
  <c r="C889" i="16"/>
  <c r="F875" i="16"/>
  <c r="D857" i="16"/>
  <c r="B839" i="16"/>
  <c r="G820" i="16"/>
  <c r="C802" i="16"/>
  <c r="H779" i="16"/>
  <c r="D754" i="16"/>
  <c r="F715" i="16"/>
  <c r="H660" i="16"/>
  <c r="D406" i="16"/>
  <c r="D1042" i="16"/>
  <c r="F1039" i="16"/>
  <c r="H1036" i="16"/>
  <c r="C1034" i="16"/>
  <c r="H1030" i="16"/>
  <c r="H1027" i="16"/>
  <c r="C1024" i="16"/>
  <c r="C1021" i="16"/>
  <c r="E1017" i="16"/>
  <c r="E1014" i="16"/>
  <c r="D1011" i="16"/>
  <c r="G1007" i="16"/>
  <c r="G1004" i="16"/>
  <c r="B1001" i="16"/>
  <c r="B998" i="16"/>
  <c r="D994" i="16"/>
  <c r="D991" i="16"/>
  <c r="B987" i="16"/>
  <c r="G982" i="16"/>
  <c r="E978" i="16"/>
  <c r="C975" i="16"/>
  <c r="H970" i="16"/>
  <c r="F966" i="16"/>
  <c r="D962" i="16"/>
  <c r="G957" i="16"/>
  <c r="C953" i="16"/>
  <c r="E948" i="16"/>
  <c r="F943" i="16"/>
  <c r="E937" i="16"/>
  <c r="F932" i="16"/>
  <c r="G927" i="16"/>
  <c r="F922" i="16"/>
  <c r="G916" i="16"/>
  <c r="H911" i="16"/>
  <c r="D905" i="16"/>
  <c r="H897" i="16"/>
  <c r="G888" i="16"/>
  <c r="E875" i="16"/>
  <c r="C857" i="16"/>
  <c r="H838" i="16"/>
  <c r="F820" i="16"/>
  <c r="B802" i="16"/>
  <c r="G779" i="16"/>
  <c r="C754" i="16"/>
  <c r="E715" i="16"/>
  <c r="G658" i="16"/>
  <c r="D380" i="16"/>
  <c r="H34" i="15"/>
  <c r="H1044" i="16"/>
  <c r="C1042" i="16"/>
  <c r="E1039" i="16"/>
  <c r="G1036" i="16"/>
  <c r="B1034" i="16"/>
  <c r="G1030" i="16"/>
  <c r="G1027" i="16"/>
  <c r="B1024" i="16"/>
  <c r="B1021" i="16"/>
  <c r="D1017" i="16"/>
  <c r="D1014" i="16"/>
  <c r="F1010" i="16"/>
  <c r="F1007" i="16"/>
  <c r="E1004" i="16"/>
  <c r="H1000" i="16"/>
  <c r="H997" i="16"/>
  <c r="C994" i="16"/>
  <c r="C991" i="16"/>
  <c r="H986" i="16"/>
  <c r="F982" i="16"/>
  <c r="D978" i="16"/>
  <c r="B974" i="16"/>
  <c r="G970" i="16"/>
  <c r="E966" i="16"/>
  <c r="C962" i="16"/>
  <c r="F957" i="16"/>
  <c r="B953" i="16"/>
  <c r="D948" i="16"/>
  <c r="C943" i="16"/>
  <c r="D937" i="16"/>
  <c r="E932" i="16"/>
  <c r="F927" i="16"/>
  <c r="E921" i="16"/>
  <c r="F916" i="16"/>
  <c r="G911" i="16"/>
  <c r="C905" i="16"/>
  <c r="D896" i="16"/>
  <c r="C887" i="16"/>
  <c r="D873" i="16"/>
  <c r="B855" i="16"/>
  <c r="G836" i="16"/>
  <c r="E818" i="16"/>
  <c r="F799" i="16"/>
  <c r="B777" i="16"/>
  <c r="H749" i="16"/>
  <c r="G710" i="16"/>
  <c r="F642" i="16"/>
  <c r="G1044" i="16"/>
  <c r="B1042" i="16"/>
  <c r="D1039" i="16"/>
  <c r="F1036" i="16"/>
  <c r="E1033" i="16"/>
  <c r="F1030" i="16"/>
  <c r="F1027" i="16"/>
  <c r="H1023" i="16"/>
  <c r="H1020" i="16"/>
  <c r="C1017" i="16"/>
  <c r="C1014" i="16"/>
  <c r="E1010" i="16"/>
  <c r="E1007" i="16"/>
  <c r="G1003" i="16"/>
  <c r="G1000" i="16"/>
  <c r="F997" i="16"/>
  <c r="B994" i="16"/>
  <c r="B990" i="16"/>
  <c r="G986" i="16"/>
  <c r="E982" i="16"/>
  <c r="C978" i="16"/>
  <c r="H973" i="16"/>
  <c r="F970" i="16"/>
  <c r="D966" i="16"/>
  <c r="B962" i="16"/>
  <c r="E957" i="16"/>
  <c r="H952" i="16"/>
  <c r="C948" i="16"/>
  <c r="B942" i="16"/>
  <c r="C937" i="16"/>
  <c r="D932" i="16"/>
  <c r="C927" i="16"/>
  <c r="D921" i="16"/>
  <c r="E916" i="16"/>
  <c r="F911" i="16"/>
  <c r="B905" i="16"/>
  <c r="C896" i="16"/>
  <c r="B887" i="16"/>
  <c r="C873" i="16"/>
  <c r="H854" i="16"/>
  <c r="F836" i="16"/>
  <c r="D818" i="16"/>
  <c r="E799" i="16"/>
  <c r="H776" i="16"/>
  <c r="G749" i="16"/>
  <c r="E710" i="16"/>
  <c r="E640" i="16"/>
  <c r="F1044" i="16"/>
  <c r="H1041" i="16"/>
  <c r="C1039" i="16"/>
  <c r="E1036" i="16"/>
  <c r="D1033" i="16"/>
  <c r="E1030" i="16"/>
  <c r="D1027" i="16"/>
  <c r="G1023" i="16"/>
  <c r="G1020" i="16"/>
  <c r="B1017" i="16"/>
  <c r="B1014" i="16"/>
  <c r="D1010" i="16"/>
  <c r="D1007" i="16"/>
  <c r="F1003" i="16"/>
  <c r="F1000" i="16"/>
  <c r="H996" i="16"/>
  <c r="H993" i="16"/>
  <c r="H989" i="16"/>
  <c r="F986" i="16"/>
  <c r="D982" i="16"/>
  <c r="B978" i="16"/>
  <c r="G973" i="16"/>
  <c r="E969" i="16"/>
  <c r="C966" i="16"/>
  <c r="H961" i="16"/>
  <c r="D957" i="16"/>
  <c r="G952" i="16"/>
  <c r="G947" i="16"/>
  <c r="H941" i="16"/>
  <c r="B937" i="16"/>
  <c r="C932" i="16"/>
  <c r="B926" i="16"/>
  <c r="C921" i="16"/>
  <c r="D916" i="16"/>
  <c r="B910" i="16"/>
  <c r="H904" i="16"/>
  <c r="B896" i="16"/>
  <c r="H886" i="16"/>
  <c r="B871" i="16"/>
  <c r="G852" i="16"/>
  <c r="E834" i="16"/>
  <c r="C816" i="16"/>
  <c r="B797" i="16"/>
  <c r="C774" i="16"/>
  <c r="D745" i="16"/>
  <c r="F704" i="16"/>
  <c r="D624" i="16"/>
  <c r="F36" i="15"/>
  <c r="E1044" i="16"/>
  <c r="G1041" i="16"/>
  <c r="B1039" i="16"/>
  <c r="D1036" i="16"/>
  <c r="C1033" i="16"/>
  <c r="D1030" i="16"/>
  <c r="F1026" i="16"/>
  <c r="F1023" i="16"/>
  <c r="E1020" i="16"/>
  <c r="H1016" i="16"/>
  <c r="H1013" i="16"/>
  <c r="C1010" i="16"/>
  <c r="C1007" i="16"/>
  <c r="E1003" i="16"/>
  <c r="E1000" i="16"/>
  <c r="G996" i="16"/>
  <c r="G993" i="16"/>
  <c r="G989" i="16"/>
  <c r="E985" i="16"/>
  <c r="C982" i="16"/>
  <c r="H977" i="16"/>
  <c r="F973" i="16"/>
  <c r="D969" i="16"/>
  <c r="B966" i="16"/>
  <c r="G961" i="16"/>
  <c r="C957" i="16"/>
  <c r="F952" i="16"/>
  <c r="F946" i="16"/>
  <c r="G941" i="16"/>
  <c r="H936" i="16"/>
  <c r="G931" i="16"/>
  <c r="H925" i="16"/>
  <c r="B921" i="16"/>
  <c r="C916" i="16"/>
  <c r="H909" i="16"/>
  <c r="G904" i="16"/>
  <c r="F895" i="16"/>
  <c r="H884" i="16"/>
  <c r="H870" i="16"/>
  <c r="F852" i="16"/>
  <c r="D834" i="16"/>
  <c r="B816" i="16"/>
  <c r="H796" i="16"/>
  <c r="B774" i="16"/>
  <c r="C745" i="16"/>
  <c r="E704" i="16"/>
  <c r="C622" i="16"/>
  <c r="D1044" i="16"/>
  <c r="F1041" i="16"/>
  <c r="H1038" i="16"/>
  <c r="G1035" i="16"/>
  <c r="B1033" i="16"/>
  <c r="C1030" i="16"/>
  <c r="E1026" i="16"/>
  <c r="E1023" i="16"/>
  <c r="G1019" i="16"/>
  <c r="G1016" i="16"/>
  <c r="F1013" i="16"/>
  <c r="B1010" i="16"/>
  <c r="B1007" i="16"/>
  <c r="D1003" i="16"/>
  <c r="D1000" i="16"/>
  <c r="F996" i="16"/>
  <c r="F993" i="16"/>
  <c r="F989" i="16"/>
  <c r="D985" i="16"/>
  <c r="B982" i="16"/>
  <c r="G977" i="16"/>
  <c r="E973" i="16"/>
  <c r="C969" i="16"/>
  <c r="H964" i="16"/>
  <c r="E961" i="16"/>
  <c r="H956" i="16"/>
  <c r="D952" i="16"/>
  <c r="E946" i="16"/>
  <c r="F941" i="16"/>
  <c r="G936" i="16"/>
  <c r="F930" i="16"/>
  <c r="G925" i="16"/>
  <c r="H920" i="16"/>
  <c r="G915" i="16"/>
  <c r="G909" i="16"/>
  <c r="C903" i="16"/>
  <c r="B894" i="16"/>
  <c r="G884" i="16"/>
  <c r="G868" i="16"/>
  <c r="E850" i="16"/>
  <c r="C832" i="16"/>
  <c r="H813" i="16"/>
  <c r="E794" i="16"/>
  <c r="G770" i="16"/>
  <c r="G740" i="16"/>
  <c r="G699" i="16"/>
  <c r="E605" i="16"/>
  <c r="C1044" i="16"/>
  <c r="E1041" i="16"/>
  <c r="G1038" i="16"/>
  <c r="F1035" i="16"/>
  <c r="H1032" i="16"/>
  <c r="B1030" i="16"/>
  <c r="D1026" i="16"/>
  <c r="D1023" i="16"/>
  <c r="F1019" i="16"/>
  <c r="F1016" i="16"/>
  <c r="H1012" i="16"/>
  <c r="H1009" i="16"/>
  <c r="G1006" i="16"/>
  <c r="C1003" i="16"/>
  <c r="C1000" i="16"/>
  <c r="E996" i="16"/>
  <c r="E993" i="16"/>
  <c r="E989" i="16"/>
  <c r="C985" i="16"/>
  <c r="H980" i="16"/>
  <c r="F977" i="16"/>
  <c r="D973" i="16"/>
  <c r="B969" i="16"/>
  <c r="G964" i="16"/>
  <c r="D960" i="16"/>
  <c r="G955" i="16"/>
  <c r="C951" i="16"/>
  <c r="D946" i="16"/>
  <c r="E941" i="16"/>
  <c r="D936" i="16"/>
  <c r="E930" i="16"/>
  <c r="F925" i="16"/>
  <c r="G920" i="16"/>
  <c r="F914" i="16"/>
  <c r="F909" i="16"/>
  <c r="B903" i="16"/>
  <c r="H893" i="16"/>
  <c r="F884" i="16"/>
  <c r="F868" i="16"/>
  <c r="D850" i="16"/>
  <c r="B832" i="16"/>
  <c r="G813" i="16"/>
  <c r="D794" i="16"/>
  <c r="F770" i="16"/>
  <c r="F740" i="16"/>
  <c r="F699" i="16"/>
  <c r="B603" i="16"/>
  <c r="B1044" i="16"/>
  <c r="D1041" i="16"/>
  <c r="F1038" i="16"/>
  <c r="E1035" i="16"/>
  <c r="G1032" i="16"/>
  <c r="H1029" i="16"/>
  <c r="C1026" i="16"/>
  <c r="C1023" i="16"/>
  <c r="E1019" i="16"/>
  <c r="E1016" i="16"/>
  <c r="G1012" i="16"/>
  <c r="G1009" i="16"/>
  <c r="B1006" i="16"/>
  <c r="B1003" i="16"/>
  <c r="H999" i="16"/>
  <c r="D996" i="16"/>
  <c r="D993" i="16"/>
  <c r="D989" i="16"/>
  <c r="B985" i="16"/>
  <c r="G980" i="16"/>
  <c r="E977" i="16"/>
  <c r="C973" i="16"/>
  <c r="H968" i="16"/>
  <c r="F964" i="16"/>
  <c r="C960" i="16"/>
  <c r="F955" i="16"/>
  <c r="B951" i="16"/>
  <c r="C946" i="16"/>
  <c r="D941" i="16"/>
  <c r="C935" i="16"/>
  <c r="D930" i="16"/>
  <c r="E925" i="16"/>
  <c r="D920" i="16"/>
  <c r="E914" i="16"/>
  <c r="E909" i="16"/>
  <c r="H902" i="16"/>
  <c r="G893" i="16"/>
  <c r="F882" i="16"/>
  <c r="E866" i="16"/>
  <c r="C848" i="16"/>
  <c r="H829" i="16"/>
  <c r="F811" i="16"/>
  <c r="D791" i="16"/>
  <c r="H767" i="16"/>
  <c r="C736" i="16"/>
  <c r="C693" i="16"/>
  <c r="G582" i="16"/>
  <c r="H1043" i="16"/>
  <c r="C1041" i="16"/>
  <c r="B1038" i="16"/>
  <c r="D1035" i="16"/>
  <c r="F1032" i="16"/>
  <c r="F1029" i="16"/>
  <c r="B1026" i="16"/>
  <c r="B1023" i="16"/>
  <c r="D1019" i="16"/>
  <c r="D1016" i="16"/>
  <c r="F1012" i="16"/>
  <c r="F1009" i="16"/>
  <c r="H1005" i="16"/>
  <c r="H1002" i="16"/>
  <c r="C999" i="16"/>
  <c r="C996" i="16"/>
  <c r="B993" i="16"/>
  <c r="C989" i="16"/>
  <c r="H984" i="16"/>
  <c r="F980" i="16"/>
  <c r="D976" i="16"/>
  <c r="B973" i="16"/>
  <c r="G968" i="16"/>
  <c r="E964" i="16"/>
  <c r="B960" i="16"/>
  <c r="E955" i="16"/>
  <c r="H950" i="16"/>
  <c r="B946" i="16"/>
  <c r="H940" i="16"/>
  <c r="B935" i="16"/>
  <c r="C930" i="16"/>
  <c r="D925" i="16"/>
  <c r="C919" i="16"/>
  <c r="D914" i="16"/>
  <c r="D909" i="16"/>
  <c r="E902" i="16"/>
  <c r="D893" i="16"/>
  <c r="E882" i="16"/>
  <c r="D866" i="16"/>
  <c r="B848" i="16"/>
  <c r="G829" i="16"/>
  <c r="E811" i="16"/>
  <c r="C791" i="16"/>
  <c r="G767" i="16"/>
  <c r="B736" i="16"/>
  <c r="B693" i="16"/>
  <c r="D579" i="16"/>
  <c r="I12" i="3"/>
  <c r="H58" i="5"/>
  <c r="D168" i="16"/>
  <c r="D152" i="16"/>
  <c r="D136" i="16"/>
  <c r="D120" i="16"/>
  <c r="D104" i="16"/>
  <c r="D88" i="16"/>
  <c r="D72" i="16"/>
  <c r="D56" i="16"/>
  <c r="D170" i="16"/>
  <c r="D154" i="16"/>
  <c r="D138" i="16"/>
  <c r="D122" i="16"/>
  <c r="D106" i="16"/>
  <c r="D90" i="16"/>
  <c r="D74" i="16"/>
  <c r="D58" i="16"/>
  <c r="H119" i="16"/>
  <c r="H144" i="16"/>
  <c r="H112" i="16"/>
  <c r="H96" i="16"/>
  <c r="H80" i="16"/>
  <c r="H64" i="16"/>
  <c r="H48" i="16"/>
  <c r="H169" i="16"/>
  <c r="D165" i="16"/>
  <c r="H153" i="16"/>
  <c r="D149" i="16"/>
  <c r="H137" i="16"/>
  <c r="D133" i="16"/>
  <c r="D117" i="16"/>
  <c r="H105" i="16"/>
  <c r="D101" i="16"/>
  <c r="H89" i="16"/>
  <c r="H73" i="16"/>
  <c r="H130" i="16"/>
  <c r="H114" i="16"/>
  <c r="H98" i="16"/>
  <c r="H82" i="16"/>
  <c r="H66" i="16"/>
  <c r="H50" i="16"/>
  <c r="H171" i="16"/>
  <c r="H155" i="16"/>
  <c r="H139" i="16"/>
  <c r="H123" i="16"/>
  <c r="H107" i="16"/>
  <c r="E107" i="16" s="1"/>
  <c r="H75" i="16"/>
  <c r="H59" i="16"/>
  <c r="H86" i="16"/>
  <c r="H70" i="16"/>
  <c r="H54" i="16"/>
  <c r="H159" i="16"/>
  <c r="H127" i="16"/>
  <c r="H111" i="16"/>
  <c r="H95" i="16"/>
  <c r="H79" i="16"/>
  <c r="H63" i="16"/>
  <c r="H35" i="15"/>
  <c r="H45" i="15"/>
  <c r="C46" i="15"/>
  <c r="H46" i="15"/>
  <c r="G31" i="15"/>
  <c r="K35" i="6"/>
  <c r="G35" i="15"/>
  <c r="F43" i="15"/>
  <c r="E43" i="15"/>
  <c r="G43" i="15" s="1"/>
  <c r="D43" i="15"/>
  <c r="I43" i="15" s="1"/>
  <c r="H31" i="15"/>
  <c r="H43" i="15"/>
  <c r="F32" i="15"/>
  <c r="G32" i="15"/>
  <c r="G36" i="15"/>
  <c r="C44" i="15"/>
  <c r="H32" i="15"/>
  <c r="H36" i="15"/>
  <c r="F33" i="15"/>
  <c r="H26" i="5"/>
  <c r="G33" i="15"/>
  <c r="H11" i="5"/>
  <c r="H33" i="15"/>
  <c r="C47" i="15"/>
  <c r="F34" i="15"/>
  <c r="C45" i="15"/>
  <c r="K29" i="6"/>
  <c r="K38" i="6"/>
  <c r="K22" i="6"/>
  <c r="K37" i="6"/>
  <c r="K21" i="6"/>
  <c r="K36" i="6"/>
  <c r="K20" i="6"/>
  <c r="K19" i="6"/>
  <c r="K31" i="6"/>
  <c r="K15" i="6"/>
  <c r="K26" i="6"/>
  <c r="K24" i="6"/>
  <c r="K8" i="6"/>
  <c r="U10" i="13"/>
  <c r="J10" i="13" s="1"/>
  <c r="U11" i="13"/>
  <c r="J11" i="13" s="1"/>
  <c r="U9" i="13"/>
  <c r="J9" i="13" s="1"/>
  <c r="U12" i="13"/>
  <c r="G12" i="13" s="1"/>
  <c r="U13" i="13"/>
  <c r="F8" i="13"/>
  <c r="U8" i="13"/>
  <c r="K39" i="6"/>
  <c r="K23" i="6"/>
  <c r="K7" i="6"/>
  <c r="F133" i="5"/>
  <c r="K34" i="6"/>
  <c r="K18" i="6"/>
  <c r="K33" i="6"/>
  <c r="K17" i="6"/>
  <c r="K32" i="6"/>
  <c r="K16" i="6"/>
  <c r="K30" i="6"/>
  <c r="K14" i="6"/>
  <c r="K11" i="3"/>
  <c r="H37" i="1" s="1"/>
  <c r="K13" i="6"/>
  <c r="K28" i="6"/>
  <c r="K12" i="6"/>
  <c r="F136" i="5"/>
  <c r="K27" i="6"/>
  <c r="K11" i="6"/>
  <c r="K42" i="6"/>
  <c r="K10" i="6"/>
  <c r="C105" i="5"/>
  <c r="K41" i="6"/>
  <c r="K25" i="6"/>
  <c r="K9" i="6"/>
  <c r="K40" i="6"/>
  <c r="D8" i="3"/>
  <c r="M8" i="3" s="1"/>
  <c r="C116" i="5"/>
  <c r="I9" i="3"/>
  <c r="K7" i="5"/>
  <c r="R7" i="5" s="1"/>
  <c r="K8" i="3"/>
  <c r="H34" i="1" s="1"/>
  <c r="K9" i="3"/>
  <c r="H35" i="1" s="1"/>
  <c r="P16" i="5"/>
  <c r="C37" i="2" s="1"/>
  <c r="T8" i="1" s="1"/>
  <c r="B12" i="2"/>
  <c r="C12" i="2" s="1"/>
  <c r="P61" i="5"/>
  <c r="C46" i="2" s="1"/>
  <c r="T17" i="1" s="1"/>
  <c r="P42" i="5"/>
  <c r="M7" i="3"/>
  <c r="V7" i="5"/>
  <c r="H68" i="5"/>
  <c r="H102" i="5"/>
  <c r="G12" i="3"/>
  <c r="D20" i="5"/>
  <c r="H43" i="5"/>
  <c r="P54" i="5"/>
  <c r="H114" i="5"/>
  <c r="D36" i="5"/>
  <c r="D58" i="5"/>
  <c r="D135" i="5"/>
  <c r="H20" i="5"/>
  <c r="D10" i="5"/>
  <c r="D9" i="3"/>
  <c r="B121" i="5"/>
  <c r="B96" i="5"/>
  <c r="B71" i="5"/>
  <c r="B64" i="5"/>
  <c r="B56" i="5"/>
  <c r="B133" i="5"/>
  <c r="B114" i="5"/>
  <c r="B108" i="5"/>
  <c r="B102" i="5"/>
  <c r="B95" i="5"/>
  <c r="B120" i="5"/>
  <c r="B77" i="5"/>
  <c r="B61" i="5"/>
  <c r="B132" i="5"/>
  <c r="B126" i="5"/>
  <c r="B119" i="5"/>
  <c r="B107" i="5"/>
  <c r="B89" i="5"/>
  <c r="B131" i="5"/>
  <c r="B113" i="5"/>
  <c r="B94" i="5"/>
  <c r="B88" i="5"/>
  <c r="B125" i="5"/>
  <c r="B118" i="5"/>
  <c r="B112" i="5"/>
  <c r="B130" i="5"/>
  <c r="B124" i="5"/>
  <c r="B111" i="5"/>
  <c r="B99" i="5"/>
  <c r="B93" i="5"/>
  <c r="B81" i="5"/>
  <c r="B127" i="5"/>
  <c r="B109" i="5"/>
  <c r="B90" i="5"/>
  <c r="B128" i="5"/>
  <c r="B123" i="5"/>
  <c r="B105" i="5"/>
  <c r="B136" i="5"/>
  <c r="B86" i="5"/>
  <c r="B58" i="5"/>
  <c r="B76" i="5"/>
  <c r="B67" i="5"/>
  <c r="B49" i="5"/>
  <c r="B41" i="5"/>
  <c r="B33" i="5"/>
  <c r="B25" i="5"/>
  <c r="B115" i="5"/>
  <c r="B69" i="5"/>
  <c r="B66" i="5"/>
  <c r="B129" i="5"/>
  <c r="B103" i="5"/>
  <c r="B87" i="5"/>
  <c r="B70" i="5"/>
  <c r="B65" i="5"/>
  <c r="B54" i="5"/>
  <c r="B46" i="5"/>
  <c r="B134" i="5"/>
  <c r="B106" i="5"/>
  <c r="B91" i="5"/>
  <c r="B82" i="5"/>
  <c r="B63" i="5"/>
  <c r="B57" i="5"/>
  <c r="B116" i="5"/>
  <c r="B97" i="5"/>
  <c r="B135" i="5"/>
  <c r="B110" i="5"/>
  <c r="B62" i="5"/>
  <c r="B48" i="5"/>
  <c r="B122" i="5"/>
  <c r="B98" i="5"/>
  <c r="B83" i="5"/>
  <c r="B104" i="5"/>
  <c r="B101" i="5"/>
  <c r="B117" i="5"/>
  <c r="B92" i="5"/>
  <c r="B84" i="5"/>
  <c r="B74" i="5"/>
  <c r="B73" i="5"/>
  <c r="B50" i="5"/>
  <c r="B42" i="5"/>
  <c r="B34" i="5"/>
  <c r="B17" i="5"/>
  <c r="B9" i="5"/>
  <c r="B26" i="5"/>
  <c r="B78" i="5"/>
  <c r="B53" i="5"/>
  <c r="B43" i="5"/>
  <c r="B22" i="5"/>
  <c r="B14" i="5"/>
  <c r="B30" i="5"/>
  <c r="B44" i="5"/>
  <c r="B40" i="5"/>
  <c r="B19" i="5"/>
  <c r="B11" i="5"/>
  <c r="B59" i="5"/>
  <c r="B39" i="5"/>
  <c r="B100" i="5"/>
  <c r="B85" i="5"/>
  <c r="B75" i="5"/>
  <c r="B45" i="5"/>
  <c r="B16" i="5"/>
  <c r="B8" i="5"/>
  <c r="B80" i="5"/>
  <c r="B29" i="5"/>
  <c r="B55" i="5"/>
  <c r="B51" i="5"/>
  <c r="B47" i="5"/>
  <c r="B37" i="5"/>
  <c r="B36" i="5"/>
  <c r="B35" i="5"/>
  <c r="B28" i="5"/>
  <c r="B18" i="5"/>
  <c r="B10" i="5"/>
  <c r="B79" i="5"/>
  <c r="B72" i="5"/>
  <c r="B68" i="5"/>
  <c r="B32" i="5"/>
  <c r="B27" i="5"/>
  <c r="P24" i="5"/>
  <c r="D52" i="5"/>
  <c r="D99" i="5"/>
  <c r="D17" i="5"/>
  <c r="G15" i="3"/>
  <c r="H9" i="5"/>
  <c r="E134" i="5"/>
  <c r="E131" i="5"/>
  <c r="E123" i="5"/>
  <c r="E115" i="5"/>
  <c r="E107" i="5"/>
  <c r="E99" i="5"/>
  <c r="E91" i="5"/>
  <c r="E83" i="5"/>
  <c r="E75" i="5"/>
  <c r="E130" i="5"/>
  <c r="E122" i="5"/>
  <c r="E114" i="5"/>
  <c r="E106" i="5"/>
  <c r="E98" i="5"/>
  <c r="E90" i="5"/>
  <c r="E82" i="5"/>
  <c r="E74" i="5"/>
  <c r="E135" i="5"/>
  <c r="E127" i="5"/>
  <c r="E119" i="5"/>
  <c r="E111" i="5"/>
  <c r="E103" i="5"/>
  <c r="E95" i="5"/>
  <c r="E87" i="5"/>
  <c r="E79" i="5"/>
  <c r="E71" i="5"/>
  <c r="E132" i="5"/>
  <c r="E89" i="5"/>
  <c r="E77" i="5"/>
  <c r="E126" i="5"/>
  <c r="E113" i="5"/>
  <c r="E101" i="5"/>
  <c r="E88" i="5"/>
  <c r="E70" i="5"/>
  <c r="E100" i="5"/>
  <c r="E94" i="5"/>
  <c r="E63" i="5"/>
  <c r="E124" i="5"/>
  <c r="E118" i="5"/>
  <c r="E81" i="5"/>
  <c r="E69" i="5"/>
  <c r="E60" i="5"/>
  <c r="E105" i="5"/>
  <c r="E92" i="5"/>
  <c r="E80" i="5"/>
  <c r="E117" i="5"/>
  <c r="E86" i="5"/>
  <c r="E133" i="5"/>
  <c r="E120" i="5"/>
  <c r="E102" i="5"/>
  <c r="E96" i="5"/>
  <c r="E93" i="5"/>
  <c r="E129" i="5"/>
  <c r="E76" i="5"/>
  <c r="E65" i="5"/>
  <c r="E54" i="5"/>
  <c r="E46" i="5"/>
  <c r="E66" i="5"/>
  <c r="E57" i="5"/>
  <c r="E112" i="5"/>
  <c r="E64" i="5"/>
  <c r="E51" i="5"/>
  <c r="E43" i="5"/>
  <c r="E35" i="5"/>
  <c r="E116" i="5"/>
  <c r="E109" i="5"/>
  <c r="E97" i="5"/>
  <c r="E121" i="5"/>
  <c r="E62" i="5"/>
  <c r="E104" i="5"/>
  <c r="E72" i="5"/>
  <c r="E53" i="5"/>
  <c r="E45" i="5"/>
  <c r="E78" i="5"/>
  <c r="E61" i="5"/>
  <c r="E84" i="5"/>
  <c r="E73" i="5"/>
  <c r="E59" i="5"/>
  <c r="E55" i="5"/>
  <c r="E47" i="5"/>
  <c r="E39" i="5"/>
  <c r="E31" i="5"/>
  <c r="E23" i="5"/>
  <c r="E85" i="5"/>
  <c r="E125" i="5"/>
  <c r="E49" i="5"/>
  <c r="E44" i="5"/>
  <c r="E42" i="5"/>
  <c r="E41" i="5"/>
  <c r="E40" i="5"/>
  <c r="E19" i="5"/>
  <c r="E11" i="5"/>
  <c r="E30" i="5"/>
  <c r="E25" i="5"/>
  <c r="E67" i="5"/>
  <c r="E16" i="5"/>
  <c r="E8" i="5"/>
  <c r="E50" i="5"/>
  <c r="E29" i="5"/>
  <c r="E24" i="5"/>
  <c r="E21" i="5"/>
  <c r="E13" i="5"/>
  <c r="E38" i="5"/>
  <c r="E37" i="5"/>
  <c r="E36" i="5"/>
  <c r="E28" i="5"/>
  <c r="E18" i="5"/>
  <c r="E10" i="5"/>
  <c r="E136" i="5"/>
  <c r="E68" i="5"/>
  <c r="E15" i="5"/>
  <c r="E7" i="5"/>
  <c r="E34" i="5"/>
  <c r="E33" i="5"/>
  <c r="E32" i="5"/>
  <c r="E27" i="5"/>
  <c r="E108" i="5"/>
  <c r="E52" i="5"/>
  <c r="E20" i="5"/>
  <c r="E12" i="5"/>
  <c r="B12" i="5"/>
  <c r="P15" i="5"/>
  <c r="P65" i="5"/>
  <c r="H22" i="5"/>
  <c r="P8" i="5"/>
  <c r="E14" i="5"/>
  <c r="H19" i="5"/>
  <c r="P69" i="5"/>
  <c r="D84" i="5"/>
  <c r="E128" i="5"/>
  <c r="H132" i="5"/>
  <c r="I8" i="3"/>
  <c r="M12" i="3"/>
  <c r="G18" i="3"/>
  <c r="F8" i="1" s="1"/>
  <c r="D12" i="5"/>
  <c r="B21" i="5"/>
  <c r="P41" i="5"/>
  <c r="C42" i="2" s="1"/>
  <c r="T13" i="1" s="1"/>
  <c r="P10" i="5"/>
  <c r="H12" i="5"/>
  <c r="B23" i="5"/>
  <c r="H25" i="5"/>
  <c r="H120" i="5"/>
  <c r="G7" i="3"/>
  <c r="D133" i="5"/>
  <c r="D120" i="5"/>
  <c r="D114" i="5"/>
  <c r="D102" i="5"/>
  <c r="D61" i="5"/>
  <c r="D132" i="5"/>
  <c r="D119" i="5"/>
  <c r="D107" i="5"/>
  <c r="D89" i="5"/>
  <c r="D126" i="5"/>
  <c r="D76" i="5"/>
  <c r="D66" i="5"/>
  <c r="D131" i="5"/>
  <c r="D113" i="5"/>
  <c r="D101" i="5"/>
  <c r="D88" i="5"/>
  <c r="D82" i="5"/>
  <c r="D70" i="5"/>
  <c r="D125" i="5"/>
  <c r="D112" i="5"/>
  <c r="D106" i="5"/>
  <c r="D124" i="5"/>
  <c r="D118" i="5"/>
  <c r="D130" i="5"/>
  <c r="D93" i="5"/>
  <c r="D123" i="5"/>
  <c r="D105" i="5"/>
  <c r="D92" i="5"/>
  <c r="D80" i="5"/>
  <c r="D74" i="5"/>
  <c r="D108" i="5"/>
  <c r="D95" i="5"/>
  <c r="D86" i="5"/>
  <c r="D115" i="5"/>
  <c r="D96" i="5"/>
  <c r="D129" i="5"/>
  <c r="D103" i="5"/>
  <c r="D81" i="5"/>
  <c r="D69" i="5"/>
  <c r="D65" i="5"/>
  <c r="D54" i="5"/>
  <c r="D46" i="5"/>
  <c r="D38" i="5"/>
  <c r="D30" i="5"/>
  <c r="D91" i="5"/>
  <c r="D90" i="5"/>
  <c r="D87" i="5"/>
  <c r="D57" i="5"/>
  <c r="D134" i="5"/>
  <c r="D64" i="5"/>
  <c r="D63" i="5"/>
  <c r="D51" i="5"/>
  <c r="D43" i="5"/>
  <c r="D116" i="5"/>
  <c r="D109" i="5"/>
  <c r="D100" i="5"/>
  <c r="D97" i="5"/>
  <c r="D71" i="5"/>
  <c r="D110" i="5"/>
  <c r="D56" i="5"/>
  <c r="D122" i="5"/>
  <c r="D104" i="5"/>
  <c r="D98" i="5"/>
  <c r="D83" i="5"/>
  <c r="D79" i="5"/>
  <c r="D72" i="5"/>
  <c r="D60" i="5"/>
  <c r="D53" i="5"/>
  <c r="D45" i="5"/>
  <c r="D127" i="5"/>
  <c r="D78" i="5"/>
  <c r="D117" i="5"/>
  <c r="D111" i="5"/>
  <c r="D59" i="5"/>
  <c r="D55" i="5"/>
  <c r="D47" i="5"/>
  <c r="D39" i="5"/>
  <c r="D128" i="5"/>
  <c r="D26" i="5"/>
  <c r="D22" i="5"/>
  <c r="D14" i="5"/>
  <c r="D94" i="5"/>
  <c r="D49" i="5"/>
  <c r="D44" i="5"/>
  <c r="D42" i="5"/>
  <c r="D41" i="5"/>
  <c r="D40" i="5"/>
  <c r="D19" i="5"/>
  <c r="D11" i="5"/>
  <c r="D25" i="5"/>
  <c r="D121" i="5"/>
  <c r="D67" i="5"/>
  <c r="D16" i="5"/>
  <c r="D8" i="5"/>
  <c r="D85" i="5"/>
  <c r="D75" i="5"/>
  <c r="D73" i="5"/>
  <c r="D50" i="5"/>
  <c r="D29" i="5"/>
  <c r="D24" i="5"/>
  <c r="D21" i="5"/>
  <c r="D13" i="5"/>
  <c r="D136" i="5"/>
  <c r="D68" i="5"/>
  <c r="D23" i="5"/>
  <c r="D15" i="5"/>
  <c r="D7" i="5"/>
  <c r="D62" i="5"/>
  <c r="D34" i="5"/>
  <c r="D33" i="5"/>
  <c r="D32" i="5"/>
  <c r="D27" i="5"/>
  <c r="D48" i="5"/>
  <c r="D31" i="5"/>
  <c r="B7" i="5"/>
  <c r="H14" i="5"/>
  <c r="H27" i="5"/>
  <c r="D77" i="5"/>
  <c r="D9" i="5"/>
  <c r="H42" i="5"/>
  <c r="E56" i="5"/>
  <c r="H96" i="5"/>
  <c r="P136" i="5"/>
  <c r="P110" i="5"/>
  <c r="P104" i="5"/>
  <c r="P79" i="5"/>
  <c r="P73" i="5"/>
  <c r="P59" i="5"/>
  <c r="P122" i="5"/>
  <c r="P116" i="5"/>
  <c r="C57" i="2" s="1"/>
  <c r="T28" i="1" s="1"/>
  <c r="P97" i="5"/>
  <c r="P91" i="5"/>
  <c r="P128" i="5"/>
  <c r="P103" i="5"/>
  <c r="P64" i="5"/>
  <c r="P135" i="5"/>
  <c r="P134" i="5"/>
  <c r="P121" i="5"/>
  <c r="C58" i="2" s="1"/>
  <c r="T29" i="1" s="1"/>
  <c r="P115" i="5"/>
  <c r="P109" i="5"/>
  <c r="P90" i="5"/>
  <c r="P78" i="5"/>
  <c r="P72" i="5"/>
  <c r="P133" i="5"/>
  <c r="P114" i="5"/>
  <c r="P102" i="5"/>
  <c r="P71" i="5"/>
  <c r="C48" i="2" s="1"/>
  <c r="T19" i="1" s="1"/>
  <c r="P120" i="5"/>
  <c r="P126" i="5"/>
  <c r="C59" i="2" s="1"/>
  <c r="T30" i="1" s="1"/>
  <c r="P132" i="5"/>
  <c r="P119" i="5"/>
  <c r="P113" i="5"/>
  <c r="P107" i="5"/>
  <c r="P101" i="5"/>
  <c r="C54" i="2" s="1"/>
  <c r="T25" i="1" s="1"/>
  <c r="P82" i="5"/>
  <c r="P70" i="5"/>
  <c r="P129" i="5"/>
  <c r="P123" i="5"/>
  <c r="P98" i="5"/>
  <c r="P92" i="5"/>
  <c r="P100" i="5"/>
  <c r="P94" i="5"/>
  <c r="P88" i="5"/>
  <c r="P83" i="5"/>
  <c r="P52" i="5"/>
  <c r="P44" i="5"/>
  <c r="P36" i="5"/>
  <c r="C41" i="2" s="1"/>
  <c r="T12" i="1" s="1"/>
  <c r="P28" i="5"/>
  <c r="P127" i="5"/>
  <c r="P124" i="5"/>
  <c r="P84" i="5"/>
  <c r="P74" i="5"/>
  <c r="P49" i="5"/>
  <c r="P130" i="5"/>
  <c r="P95" i="5"/>
  <c r="P58" i="5"/>
  <c r="P117" i="5"/>
  <c r="P89" i="5"/>
  <c r="P85" i="5"/>
  <c r="P67" i="5"/>
  <c r="P125" i="5"/>
  <c r="P80" i="5"/>
  <c r="P75" i="5"/>
  <c r="P66" i="5"/>
  <c r="C47" i="2" s="1"/>
  <c r="T18" i="1" s="1"/>
  <c r="P51" i="5"/>
  <c r="C44" i="2" s="1"/>
  <c r="T15" i="1" s="1"/>
  <c r="P111" i="5"/>
  <c r="P108" i="5"/>
  <c r="P68" i="5"/>
  <c r="P57" i="5"/>
  <c r="P105" i="5"/>
  <c r="P96" i="5"/>
  <c r="C53" i="2" s="1"/>
  <c r="T24" i="1" s="1"/>
  <c r="P131" i="5"/>
  <c r="P99" i="5"/>
  <c r="P93" i="5"/>
  <c r="P63" i="5"/>
  <c r="P118" i="5"/>
  <c r="P56" i="5"/>
  <c r="C45" i="2" s="1"/>
  <c r="T16" i="1" s="1"/>
  <c r="P53" i="5"/>
  <c r="P45" i="5"/>
  <c r="P37" i="5"/>
  <c r="P35" i="5"/>
  <c r="P20" i="5"/>
  <c r="P12" i="5"/>
  <c r="P46" i="5"/>
  <c r="P34" i="5"/>
  <c r="P33" i="5"/>
  <c r="P27" i="5"/>
  <c r="P17" i="5"/>
  <c r="Q18" i="5" s="1"/>
  <c r="W18" i="5" s="1"/>
  <c r="P9" i="5"/>
  <c r="P112" i="5"/>
  <c r="P32" i="5"/>
  <c r="P106" i="5"/>
  <c r="P55" i="5"/>
  <c r="P47" i="5"/>
  <c r="P31" i="5"/>
  <c r="P22" i="5"/>
  <c r="P14" i="5"/>
  <c r="P77" i="5"/>
  <c r="P26" i="5"/>
  <c r="C39" i="2" s="1"/>
  <c r="T10" i="1" s="1"/>
  <c r="P87" i="5"/>
  <c r="P19" i="5"/>
  <c r="Q19" i="5" s="1"/>
  <c r="W19" i="5" s="1"/>
  <c r="P11" i="5"/>
  <c r="C36" i="2" s="1"/>
  <c r="T7" i="1" s="1"/>
  <c r="P62" i="5"/>
  <c r="P48" i="5"/>
  <c r="P30" i="5"/>
  <c r="W7" i="5"/>
  <c r="P60" i="5"/>
  <c r="P43" i="5"/>
  <c r="P40" i="5"/>
  <c r="P29" i="5"/>
  <c r="P21" i="5"/>
  <c r="P13" i="5"/>
  <c r="P76" i="5"/>
  <c r="C49" i="2" s="1"/>
  <c r="T20" i="1" s="1"/>
  <c r="P39" i="5"/>
  <c r="P86" i="5"/>
  <c r="C51" i="2" s="1"/>
  <c r="T22" i="1" s="1"/>
  <c r="P38" i="5"/>
  <c r="E9" i="5"/>
  <c r="P23" i="5"/>
  <c r="P50" i="5"/>
  <c r="P81" i="5"/>
  <c r="H105" i="5"/>
  <c r="D33" i="1"/>
  <c r="D10" i="3"/>
  <c r="P7" i="5"/>
  <c r="D18" i="5"/>
  <c r="P25" i="5"/>
  <c r="H30" i="5"/>
  <c r="D35" i="5"/>
  <c r="B60" i="5"/>
  <c r="G26" i="5"/>
  <c r="C52" i="5"/>
  <c r="G58" i="5"/>
  <c r="G89" i="5"/>
  <c r="G102" i="5"/>
  <c r="F105" i="5"/>
  <c r="H131" i="5"/>
  <c r="H94" i="5"/>
  <c r="H88" i="5"/>
  <c r="H82" i="5"/>
  <c r="H63" i="5"/>
  <c r="H125" i="5"/>
  <c r="H100" i="5"/>
  <c r="H118" i="5"/>
  <c r="H112" i="5"/>
  <c r="H106" i="5"/>
  <c r="H87" i="5"/>
  <c r="H81" i="5"/>
  <c r="H69" i="5"/>
  <c r="H124" i="5"/>
  <c r="H99" i="5"/>
  <c r="H93" i="5"/>
  <c r="H123" i="5"/>
  <c r="H117" i="5"/>
  <c r="H92" i="5"/>
  <c r="H86" i="5"/>
  <c r="H80" i="5"/>
  <c r="H74" i="5"/>
  <c r="H129" i="5"/>
  <c r="H116" i="5"/>
  <c r="H110" i="5"/>
  <c r="H104" i="5"/>
  <c r="H91" i="5"/>
  <c r="H79" i="5"/>
  <c r="H122" i="5"/>
  <c r="H97" i="5"/>
  <c r="H85" i="5"/>
  <c r="H136" i="5"/>
  <c r="H135" i="5"/>
  <c r="H119" i="5"/>
  <c r="H113" i="5"/>
  <c r="H101" i="5"/>
  <c r="H103" i="5"/>
  <c r="H90" i="5"/>
  <c r="H76" i="5"/>
  <c r="H134" i="5"/>
  <c r="H109" i="5"/>
  <c r="H121" i="5"/>
  <c r="H70" i="5"/>
  <c r="H62" i="5"/>
  <c r="H48" i="5"/>
  <c r="H40" i="5"/>
  <c r="H32" i="5"/>
  <c r="H24" i="5"/>
  <c r="H126" i="5"/>
  <c r="H77" i="5"/>
  <c r="H71" i="5"/>
  <c r="H56" i="5"/>
  <c r="H53" i="5"/>
  <c r="H45" i="5"/>
  <c r="H83" i="5"/>
  <c r="H78" i="5"/>
  <c r="H72" i="5"/>
  <c r="H61" i="5"/>
  <c r="H127" i="5"/>
  <c r="H98" i="5"/>
  <c r="H84" i="5"/>
  <c r="H73" i="5"/>
  <c r="H107" i="5"/>
  <c r="H59" i="5"/>
  <c r="H55" i="5"/>
  <c r="H47" i="5"/>
  <c r="H130" i="5"/>
  <c r="H95" i="5"/>
  <c r="H128" i="5"/>
  <c r="H111" i="5"/>
  <c r="H133" i="5"/>
  <c r="H89" i="5"/>
  <c r="H67" i="5"/>
  <c r="H49" i="5"/>
  <c r="H41" i="5"/>
  <c r="H33" i="5"/>
  <c r="C7" i="5"/>
  <c r="B9" i="9"/>
  <c r="D9" i="9" s="1"/>
  <c r="G9" i="5"/>
  <c r="C15" i="5"/>
  <c r="G17" i="5"/>
  <c r="C23" i="5"/>
  <c r="G31" i="5"/>
  <c r="H60" i="5"/>
  <c r="H66" i="5"/>
  <c r="G99" i="5"/>
  <c r="C123" i="5"/>
  <c r="F12" i="5"/>
  <c r="H17" i="5"/>
  <c r="F20" i="5"/>
  <c r="H31" i="5"/>
  <c r="H52" i="5"/>
  <c r="H64" i="5"/>
  <c r="F72" i="5"/>
  <c r="F108" i="5"/>
  <c r="C10" i="5"/>
  <c r="G12" i="5"/>
  <c r="C18" i="5"/>
  <c r="G20" i="5"/>
  <c r="F23" i="5"/>
  <c r="G27" i="5"/>
  <c r="C28" i="5"/>
  <c r="F32" i="5"/>
  <c r="F33" i="5"/>
  <c r="F34" i="5"/>
  <c r="C35" i="5"/>
  <c r="C36" i="5"/>
  <c r="C37" i="5"/>
  <c r="C47" i="5"/>
  <c r="F96" i="5"/>
  <c r="H108" i="5"/>
  <c r="G114" i="5"/>
  <c r="F120" i="5"/>
  <c r="D11" i="3"/>
  <c r="G7" i="5"/>
  <c r="C13" i="5"/>
  <c r="G15" i="5"/>
  <c r="C21" i="5"/>
  <c r="H23" i="5"/>
  <c r="C24" i="5"/>
  <c r="H34" i="5"/>
  <c r="G35" i="5"/>
  <c r="G46" i="5"/>
  <c r="G47" i="5"/>
  <c r="H51" i="5"/>
  <c r="F55" i="5"/>
  <c r="G133" i="5"/>
  <c r="H7" i="5"/>
  <c r="F10" i="5"/>
  <c r="H15" i="5"/>
  <c r="F18" i="5"/>
  <c r="F28" i="5"/>
  <c r="C29" i="5"/>
  <c r="H35" i="5"/>
  <c r="H36" i="5"/>
  <c r="F37" i="5"/>
  <c r="F38" i="5"/>
  <c r="H46" i="5"/>
  <c r="F54" i="5"/>
  <c r="G57" i="5"/>
  <c r="C80" i="5"/>
  <c r="C8" i="5"/>
  <c r="G10" i="5"/>
  <c r="C16" i="5"/>
  <c r="G18" i="5"/>
  <c r="H28" i="5"/>
  <c r="G37" i="5"/>
  <c r="G38" i="5"/>
  <c r="H57" i="5"/>
  <c r="F80" i="5"/>
  <c r="F124" i="5"/>
  <c r="C134" i="5"/>
  <c r="C126" i="5"/>
  <c r="C118" i="5"/>
  <c r="C110" i="5"/>
  <c r="C102" i="5"/>
  <c r="C94" i="5"/>
  <c r="C86" i="5"/>
  <c r="C78" i="5"/>
  <c r="C70" i="5"/>
  <c r="C133" i="5"/>
  <c r="C125" i="5"/>
  <c r="C117" i="5"/>
  <c r="C109" i="5"/>
  <c r="C101" i="5"/>
  <c r="C93" i="5"/>
  <c r="C85" i="5"/>
  <c r="C77" i="5"/>
  <c r="C69" i="5"/>
  <c r="C130" i="5"/>
  <c r="C122" i="5"/>
  <c r="C114" i="5"/>
  <c r="C106" i="5"/>
  <c r="C98" i="5"/>
  <c r="C90" i="5"/>
  <c r="C82" i="5"/>
  <c r="C74" i="5"/>
  <c r="C108" i="5"/>
  <c r="C95" i="5"/>
  <c r="C83" i="5"/>
  <c r="C120" i="5"/>
  <c r="C132" i="5"/>
  <c r="C119" i="5"/>
  <c r="C107" i="5"/>
  <c r="C89" i="5"/>
  <c r="C76" i="5"/>
  <c r="C66" i="5"/>
  <c r="C58" i="5"/>
  <c r="C100" i="5"/>
  <c r="C87" i="5"/>
  <c r="C75" i="5"/>
  <c r="C63" i="5"/>
  <c r="C124" i="5"/>
  <c r="C111" i="5"/>
  <c r="C99" i="5"/>
  <c r="C81" i="5"/>
  <c r="C68" i="5"/>
  <c r="C121" i="5"/>
  <c r="C96" i="5"/>
  <c r="C136" i="5"/>
  <c r="C131" i="5"/>
  <c r="C67" i="5"/>
  <c r="C49" i="5"/>
  <c r="C115" i="5"/>
  <c r="C129" i="5"/>
  <c r="C103" i="5"/>
  <c r="C65" i="5"/>
  <c r="C54" i="5"/>
  <c r="C46" i="5"/>
  <c r="C38" i="5"/>
  <c r="C30" i="5"/>
  <c r="C112" i="5"/>
  <c r="C91" i="5"/>
  <c r="C57" i="5"/>
  <c r="C64" i="5"/>
  <c r="C135" i="5"/>
  <c r="C88" i="5"/>
  <c r="C62" i="5"/>
  <c r="C48" i="5"/>
  <c r="C56" i="5"/>
  <c r="C113" i="5"/>
  <c r="C104" i="5"/>
  <c r="C79" i="5"/>
  <c r="C72" i="5"/>
  <c r="C61" i="5"/>
  <c r="C60" i="5"/>
  <c r="C127" i="5"/>
  <c r="C92" i="5"/>
  <c r="C84" i="5"/>
  <c r="C73" i="5"/>
  <c r="C50" i="5"/>
  <c r="C42" i="5"/>
  <c r="C34" i="5"/>
  <c r="C26" i="5"/>
  <c r="G136" i="5"/>
  <c r="G128" i="5"/>
  <c r="G120" i="5"/>
  <c r="G112" i="5"/>
  <c r="G104" i="5"/>
  <c r="G96" i="5"/>
  <c r="G88" i="5"/>
  <c r="G80" i="5"/>
  <c r="G72" i="5"/>
  <c r="G135" i="5"/>
  <c r="G127" i="5"/>
  <c r="G119" i="5"/>
  <c r="G111" i="5"/>
  <c r="G103" i="5"/>
  <c r="G95" i="5"/>
  <c r="G87" i="5"/>
  <c r="G79" i="5"/>
  <c r="G71" i="5"/>
  <c r="G132" i="5"/>
  <c r="G124" i="5"/>
  <c r="G116" i="5"/>
  <c r="G108" i="5"/>
  <c r="G100" i="5"/>
  <c r="G92" i="5"/>
  <c r="G84" i="5"/>
  <c r="G76" i="5"/>
  <c r="G68" i="5"/>
  <c r="G113" i="5"/>
  <c r="G101" i="5"/>
  <c r="G70" i="5"/>
  <c r="G131" i="5"/>
  <c r="G94" i="5"/>
  <c r="G125" i="5"/>
  <c r="G75" i="5"/>
  <c r="G118" i="5"/>
  <c r="G106" i="5"/>
  <c r="G81" i="5"/>
  <c r="G69" i="5"/>
  <c r="G60" i="5"/>
  <c r="G130" i="5"/>
  <c r="G105" i="5"/>
  <c r="G65" i="5"/>
  <c r="G123" i="5"/>
  <c r="G117" i="5"/>
  <c r="G129" i="5"/>
  <c r="G98" i="5"/>
  <c r="G110" i="5"/>
  <c r="G91" i="5"/>
  <c r="G73" i="5"/>
  <c r="G126" i="5"/>
  <c r="G107" i="5"/>
  <c r="G90" i="5"/>
  <c r="G66" i="5"/>
  <c r="G64" i="5"/>
  <c r="G51" i="5"/>
  <c r="G134" i="5"/>
  <c r="G109" i="5"/>
  <c r="G97" i="5"/>
  <c r="G121" i="5"/>
  <c r="G63" i="5"/>
  <c r="G62" i="5"/>
  <c r="G48" i="5"/>
  <c r="G40" i="5"/>
  <c r="G32" i="5"/>
  <c r="G82" i="5"/>
  <c r="G77" i="5"/>
  <c r="G56" i="5"/>
  <c r="G53" i="5"/>
  <c r="G50" i="5"/>
  <c r="G42" i="5"/>
  <c r="G59" i="5"/>
  <c r="G55" i="5"/>
  <c r="G52" i="5"/>
  <c r="G44" i="5"/>
  <c r="G36" i="5"/>
  <c r="G28" i="5"/>
  <c r="H10" i="5"/>
  <c r="F13" i="5"/>
  <c r="H18" i="5"/>
  <c r="F21" i="5"/>
  <c r="F24" i="5"/>
  <c r="C25" i="5"/>
  <c r="H37" i="5"/>
  <c r="H38" i="5"/>
  <c r="C39" i="5"/>
  <c r="F45" i="5"/>
  <c r="H54" i="5"/>
  <c r="C59" i="5"/>
  <c r="H75" i="5"/>
  <c r="G85" i="5"/>
  <c r="C97" i="5"/>
  <c r="C11" i="5"/>
  <c r="G13" i="5"/>
  <c r="C19" i="5"/>
  <c r="G21" i="5"/>
  <c r="G24" i="5"/>
  <c r="F29" i="5"/>
  <c r="F39" i="5"/>
  <c r="C40" i="5"/>
  <c r="C41" i="5"/>
  <c r="C44" i="5"/>
  <c r="G45" i="5"/>
  <c r="H50" i="5"/>
  <c r="F59" i="5"/>
  <c r="G61" i="5"/>
  <c r="G115" i="5"/>
  <c r="F8" i="5"/>
  <c r="H13" i="5"/>
  <c r="F16" i="5"/>
  <c r="H21" i="5"/>
  <c r="G29" i="5"/>
  <c r="G39" i="5"/>
  <c r="F65" i="5"/>
  <c r="F67" i="5"/>
  <c r="C71" i="5"/>
  <c r="H115" i="5"/>
  <c r="G8" i="5"/>
  <c r="C14" i="5"/>
  <c r="G16" i="5"/>
  <c r="C22" i="5"/>
  <c r="F25" i="5"/>
  <c r="H29" i="5"/>
  <c r="H39" i="5"/>
  <c r="C43" i="5"/>
  <c r="C53" i="5"/>
  <c r="H65" i="5"/>
  <c r="G67" i="5"/>
  <c r="G78" i="5"/>
  <c r="C128" i="5"/>
  <c r="F135" i="5"/>
  <c r="F126" i="5"/>
  <c r="F119" i="5"/>
  <c r="F107" i="5"/>
  <c r="F76" i="5"/>
  <c r="F66" i="5"/>
  <c r="F58" i="5"/>
  <c r="F113" i="5"/>
  <c r="F101" i="5"/>
  <c r="F88" i="5"/>
  <c r="F131" i="5"/>
  <c r="F100" i="5"/>
  <c r="F94" i="5"/>
  <c r="F82" i="5"/>
  <c r="F63" i="5"/>
  <c r="F125" i="5"/>
  <c r="F112" i="5"/>
  <c r="F87" i="5"/>
  <c r="F75" i="5"/>
  <c r="F111" i="5"/>
  <c r="F99" i="5"/>
  <c r="F93" i="5"/>
  <c r="F68" i="5"/>
  <c r="F130" i="5"/>
  <c r="F123" i="5"/>
  <c r="F117" i="5"/>
  <c r="F86" i="5"/>
  <c r="F129" i="5"/>
  <c r="F116" i="5"/>
  <c r="F104" i="5"/>
  <c r="F98" i="5"/>
  <c r="F79" i="5"/>
  <c r="F132" i="5"/>
  <c r="F114" i="5"/>
  <c r="F89" i="5"/>
  <c r="F115" i="5"/>
  <c r="F102" i="5"/>
  <c r="F118" i="5"/>
  <c r="F103" i="5"/>
  <c r="F81" i="5"/>
  <c r="F69" i="5"/>
  <c r="F57" i="5"/>
  <c r="F91" i="5"/>
  <c r="F90" i="5"/>
  <c r="F64" i="5"/>
  <c r="F51" i="5"/>
  <c r="F43" i="5"/>
  <c r="F35" i="5"/>
  <c r="F27" i="5"/>
  <c r="F134" i="5"/>
  <c r="F109" i="5"/>
  <c r="F97" i="5"/>
  <c r="F70" i="5"/>
  <c r="F121" i="5"/>
  <c r="F106" i="5"/>
  <c r="F71" i="5"/>
  <c r="F62" i="5"/>
  <c r="F48" i="5"/>
  <c r="F110" i="5"/>
  <c r="F77" i="5"/>
  <c r="F56" i="5"/>
  <c r="F122" i="5"/>
  <c r="F83" i="5"/>
  <c r="F78" i="5"/>
  <c r="F61" i="5"/>
  <c r="F60" i="5"/>
  <c r="F127" i="5"/>
  <c r="F84" i="5"/>
  <c r="F73" i="5"/>
  <c r="F50" i="5"/>
  <c r="F92" i="5"/>
  <c r="F95" i="5"/>
  <c r="F85" i="5"/>
  <c r="F74" i="5"/>
  <c r="F128" i="5"/>
  <c r="F52" i="5"/>
  <c r="F44" i="5"/>
  <c r="F36" i="5"/>
  <c r="H8" i="5"/>
  <c r="F11" i="5"/>
  <c r="H16" i="5"/>
  <c r="F19" i="5"/>
  <c r="G25" i="5"/>
  <c r="G30" i="5"/>
  <c r="F40" i="5"/>
  <c r="F41" i="5"/>
  <c r="F42" i="5"/>
  <c r="G43" i="5"/>
  <c r="H44" i="5"/>
  <c r="F49" i="5"/>
  <c r="F53" i="5"/>
  <c r="G83" i="5"/>
  <c r="G86" i="5"/>
  <c r="H141" i="16" l="1"/>
  <c r="H143" i="16"/>
  <c r="H116" i="16"/>
  <c r="R28" i="4"/>
  <c r="H68" i="16"/>
  <c r="H47" i="16"/>
  <c r="D157" i="16"/>
  <c r="H133" i="16"/>
  <c r="H93" i="16"/>
  <c r="D135" i="16"/>
  <c r="B9" i="17"/>
  <c r="I27" i="17"/>
  <c r="I20" i="17"/>
  <c r="I13" i="17"/>
  <c r="I22" i="17"/>
  <c r="I15" i="17"/>
  <c r="I24" i="17"/>
  <c r="I17" i="17"/>
  <c r="I26" i="17"/>
  <c r="I19" i="17"/>
  <c r="I21" i="17"/>
  <c r="I14" i="17"/>
  <c r="I23" i="17"/>
  <c r="I16" i="17"/>
  <c r="I25" i="17"/>
  <c r="I18" i="17"/>
  <c r="R27" i="4"/>
  <c r="O41" i="4"/>
  <c r="P41" i="4" s="1"/>
  <c r="O42" i="4"/>
  <c r="P42" i="4" s="1"/>
  <c r="C42" i="15"/>
  <c r="D158" i="16"/>
  <c r="D162" i="16"/>
  <c r="H167" i="16"/>
  <c r="E167" i="16" s="1"/>
  <c r="D60" i="16"/>
  <c r="D71" i="16"/>
  <c r="D53" i="16"/>
  <c r="D137" i="16"/>
  <c r="E137" i="16" s="1"/>
  <c r="D55" i="16"/>
  <c r="D112" i="16"/>
  <c r="D150" i="16"/>
  <c r="H49" i="16"/>
  <c r="H77" i="16"/>
  <c r="E77" i="16" s="1"/>
  <c r="D161" i="16"/>
  <c r="D47" i="16"/>
  <c r="D124" i="16"/>
  <c r="H108" i="16"/>
  <c r="D80" i="16"/>
  <c r="H173" i="16"/>
  <c r="E173" i="16" s="1"/>
  <c r="H71" i="16"/>
  <c r="E71" i="16" s="1"/>
  <c r="H125" i="16"/>
  <c r="D75" i="16"/>
  <c r="E75" i="16" s="1"/>
  <c r="D102" i="16"/>
  <c r="D143" i="16"/>
  <c r="E143" i="16" s="1"/>
  <c r="D118" i="16"/>
  <c r="D97" i="16"/>
  <c r="D86" i="16"/>
  <c r="E86" i="16" s="1"/>
  <c r="D57" i="16"/>
  <c r="D79" i="16"/>
  <c r="E79" i="16" s="1"/>
  <c r="H102" i="16"/>
  <c r="D127" i="16"/>
  <c r="E127" i="16" s="1"/>
  <c r="H132" i="16"/>
  <c r="D63" i="16"/>
  <c r="D89" i="16"/>
  <c r="E63" i="16"/>
  <c r="E50" i="16"/>
  <c r="D169" i="16"/>
  <c r="E169" i="16" s="1"/>
  <c r="D95" i="16"/>
  <c r="E95" i="16" s="1"/>
  <c r="E120" i="16"/>
  <c r="D132" i="16"/>
  <c r="D103" i="16"/>
  <c r="E103" i="16" s="1"/>
  <c r="D174" i="16"/>
  <c r="D68" i="16"/>
  <c r="D139" i="16"/>
  <c r="E139" i="16" s="1"/>
  <c r="D114" i="16"/>
  <c r="E114" i="16" s="1"/>
  <c r="D156" i="16"/>
  <c r="D92" i="16"/>
  <c r="D83" i="16"/>
  <c r="D105" i="16"/>
  <c r="E105" i="16" s="1"/>
  <c r="H154" i="16"/>
  <c r="E154" i="16" s="1"/>
  <c r="D99" i="16"/>
  <c r="H128" i="16"/>
  <c r="D134" i="16"/>
  <c r="D147" i="16"/>
  <c r="D151" i="16"/>
  <c r="D100" i="16"/>
  <c r="D64" i="16"/>
  <c r="E64" i="16" s="1"/>
  <c r="H91" i="16"/>
  <c r="E130" i="16"/>
  <c r="D159" i="16"/>
  <c r="H83" i="16"/>
  <c r="E83" i="16" s="1"/>
  <c r="D82" i="16"/>
  <c r="E82" i="16" s="1"/>
  <c r="D87" i="16"/>
  <c r="D144" i="16"/>
  <c r="E144" i="16" s="1"/>
  <c r="E159" i="16"/>
  <c r="Q24" i="5"/>
  <c r="W24" i="5" s="1"/>
  <c r="E73" i="16"/>
  <c r="D110" i="16"/>
  <c r="D141" i="16"/>
  <c r="D121" i="16"/>
  <c r="H62" i="16"/>
  <c r="H148" i="16"/>
  <c r="D142" i="16"/>
  <c r="D108" i="16"/>
  <c r="D119" i="16"/>
  <c r="E119" i="16" s="1"/>
  <c r="D54" i="16"/>
  <c r="E54" i="16" s="1"/>
  <c r="E48" i="16"/>
  <c r="H122" i="16"/>
  <c r="E122" i="16" s="1"/>
  <c r="D45" i="16"/>
  <c r="D111" i="16"/>
  <c r="E111" i="16" s="1"/>
  <c r="H51" i="16"/>
  <c r="E51" i="16" s="1"/>
  <c r="D128" i="16"/>
  <c r="E128" i="16" s="1"/>
  <c r="D46" i="16"/>
  <c r="E46" i="16" s="1"/>
  <c r="H118" i="16"/>
  <c r="H57" i="16"/>
  <c r="E57" i="16" s="1"/>
  <c r="E96" i="16"/>
  <c r="H136" i="16"/>
  <c r="E136" i="16" s="1"/>
  <c r="D125" i="16"/>
  <c r="D51" i="16"/>
  <c r="H72" i="16"/>
  <c r="E72" i="16" s="1"/>
  <c r="D93" i="16"/>
  <c r="E93" i="16" s="1"/>
  <c r="D91" i="16"/>
  <c r="D116" i="16"/>
  <c r="E116" i="16" s="1"/>
  <c r="H160" i="16"/>
  <c r="E160" i="16" s="1"/>
  <c r="H67" i="16"/>
  <c r="D78" i="16"/>
  <c r="D85" i="16"/>
  <c r="D84" i="16"/>
  <c r="E84" i="16" s="1"/>
  <c r="H61" i="16"/>
  <c r="D69" i="16"/>
  <c r="D70" i="16"/>
  <c r="E70" i="16" s="1"/>
  <c r="D153" i="16"/>
  <c r="E153" i="16" s="1"/>
  <c r="H121" i="16"/>
  <c r="H135" i="16"/>
  <c r="E135" i="16" s="1"/>
  <c r="H164" i="16"/>
  <c r="H76" i="16"/>
  <c r="Q43" i="5"/>
  <c r="W43" i="5" s="1"/>
  <c r="H151" i="16"/>
  <c r="E151" i="16" s="1"/>
  <c r="H109" i="16"/>
  <c r="D166" i="16"/>
  <c r="D59" i="16"/>
  <c r="E59" i="16" s="1"/>
  <c r="E155" i="16"/>
  <c r="D66" i="16"/>
  <c r="E98" i="16"/>
  <c r="K20" i="16"/>
  <c r="H20" i="16"/>
  <c r="D20" i="16"/>
  <c r="H110" i="16"/>
  <c r="E110" i="16" s="1"/>
  <c r="H106" i="16"/>
  <c r="E106" i="16" s="1"/>
  <c r="H150" i="16"/>
  <c r="E150" i="16" s="1"/>
  <c r="H52" i="16"/>
  <c r="E52" i="16" s="1"/>
  <c r="H45" i="16"/>
  <c r="E45" i="16" s="1"/>
  <c r="D94" i="16"/>
  <c r="E94" i="16" s="1"/>
  <c r="H152" i="16"/>
  <c r="H129" i="16"/>
  <c r="E118" i="16"/>
  <c r="D148" i="16"/>
  <c r="E80" i="16"/>
  <c r="H140" i="16"/>
  <c r="H69" i="16"/>
  <c r="H88" i="16"/>
  <c r="E88" i="16" s="1"/>
  <c r="H87" i="16"/>
  <c r="H97" i="16"/>
  <c r="E97" i="16" s="1"/>
  <c r="D140" i="16"/>
  <c r="H115" i="16"/>
  <c r="H131" i="16"/>
  <c r="H166" i="16"/>
  <c r="E166" i="16" s="1"/>
  <c r="H58" i="16"/>
  <c r="H81" i="16"/>
  <c r="E89" i="16"/>
  <c r="E141" i="16"/>
  <c r="D109" i="16"/>
  <c r="H163" i="16"/>
  <c r="H113" i="16"/>
  <c r="H142" i="16"/>
  <c r="H165" i="16"/>
  <c r="E165" i="16" s="1"/>
  <c r="H53" i="16"/>
  <c r="D67" i="16"/>
  <c r="H55" i="16"/>
  <c r="H161" i="16"/>
  <c r="E161" i="16" s="1"/>
  <c r="H162" i="16"/>
  <c r="D81" i="16"/>
  <c r="H124" i="16"/>
  <c r="E124" i="16" s="1"/>
  <c r="D129" i="16"/>
  <c r="H90" i="16"/>
  <c r="E90" i="16" s="1"/>
  <c r="D49" i="16"/>
  <c r="H156" i="16"/>
  <c r="E156" i="16" s="1"/>
  <c r="H158" i="16"/>
  <c r="E158" i="16" s="1"/>
  <c r="E123" i="16"/>
  <c r="H104" i="16"/>
  <c r="E104" i="16" s="1"/>
  <c r="H149" i="16"/>
  <c r="H117" i="16"/>
  <c r="E117" i="16" s="1"/>
  <c r="D115" i="16"/>
  <c r="E133" i="16"/>
  <c r="E152" i="16"/>
  <c r="H78" i="16"/>
  <c r="H134" i="16"/>
  <c r="E134" i="16" s="1"/>
  <c r="H100" i="16"/>
  <c r="E100" i="16" s="1"/>
  <c r="H85" i="16"/>
  <c r="H157" i="16"/>
  <c r="E157" i="16" s="1"/>
  <c r="H174" i="16"/>
  <c r="E174" i="16" s="1"/>
  <c r="H101" i="16"/>
  <c r="E101" i="16" s="1"/>
  <c r="D61" i="16"/>
  <c r="E61" i="16" s="1"/>
  <c r="E66" i="16"/>
  <c r="E112" i="16"/>
  <c r="D164" i="16"/>
  <c r="H138" i="16"/>
  <c r="E138" i="16" s="1"/>
  <c r="H145" i="16"/>
  <c r="E145" i="16" s="1"/>
  <c r="H170" i="16"/>
  <c r="E170" i="16" s="1"/>
  <c r="E171" i="16"/>
  <c r="E149" i="16"/>
  <c r="E58" i="16"/>
  <c r="H147" i="16"/>
  <c r="D163" i="16"/>
  <c r="H172" i="16"/>
  <c r="E172" i="16" s="1"/>
  <c r="D76" i="16"/>
  <c r="H99" i="16"/>
  <c r="D62" i="16"/>
  <c r="E62" i="16" s="1"/>
  <c r="H74" i="16"/>
  <c r="E74" i="16" s="1"/>
  <c r="H126" i="16"/>
  <c r="E126" i="16" s="1"/>
  <c r="H56" i="16"/>
  <c r="E56" i="16" s="1"/>
  <c r="H65" i="16"/>
  <c r="E65" i="16" s="1"/>
  <c r="H92" i="16"/>
  <c r="E92" i="16" s="1"/>
  <c r="D131" i="16"/>
  <c r="H168" i="16"/>
  <c r="E168" i="16" s="1"/>
  <c r="H146" i="16"/>
  <c r="E146" i="16" s="1"/>
  <c r="D113" i="16"/>
  <c r="H60" i="16"/>
  <c r="E60" i="16" s="1"/>
  <c r="E47" i="16"/>
  <c r="C34" i="1"/>
  <c r="F46" i="15"/>
  <c r="D46" i="15"/>
  <c r="I46" i="15" s="1"/>
  <c r="E46" i="15"/>
  <c r="G46" i="15" s="1"/>
  <c r="F45" i="15"/>
  <c r="E45" i="15"/>
  <c r="G45" i="15" s="1"/>
  <c r="D45" i="15"/>
  <c r="I45" i="15" s="1"/>
  <c r="F42" i="15"/>
  <c r="E42" i="15"/>
  <c r="D42" i="15"/>
  <c r="B9" i="15"/>
  <c r="E44" i="15"/>
  <c r="G44" i="15" s="1"/>
  <c r="F44" i="15"/>
  <c r="D44" i="15"/>
  <c r="I44" i="15" s="1"/>
  <c r="F47" i="15"/>
  <c r="E47" i="15"/>
  <c r="G47" i="15" s="1"/>
  <c r="D47" i="15"/>
  <c r="I47" i="15" s="1"/>
  <c r="Q16" i="5"/>
  <c r="W16" i="5" s="1"/>
  <c r="G8" i="3"/>
  <c r="E34" i="1" s="1"/>
  <c r="D10" i="13"/>
  <c r="E10" i="13" s="1"/>
  <c r="K10" i="13"/>
  <c r="G11" i="13"/>
  <c r="D11" i="13"/>
  <c r="E11" i="13" s="1"/>
  <c r="G10" i="13"/>
  <c r="K11" i="13"/>
  <c r="D12" i="13"/>
  <c r="E12" i="13" s="1"/>
  <c r="K12" i="13"/>
  <c r="Q25" i="5"/>
  <c r="W25" i="5" s="1"/>
  <c r="Q62" i="5"/>
  <c r="W62" i="5" s="1"/>
  <c r="J12" i="13"/>
  <c r="G9" i="13"/>
  <c r="D9" i="13"/>
  <c r="K9" i="13"/>
  <c r="J8" i="13"/>
  <c r="K8" i="13"/>
  <c r="G13" i="13"/>
  <c r="J13" i="13"/>
  <c r="D13" i="13"/>
  <c r="K13" i="13"/>
  <c r="G8" i="13"/>
  <c r="D8" i="13"/>
  <c r="B9" i="16" s="1"/>
  <c r="Q42" i="5"/>
  <c r="W42" i="5" s="1"/>
  <c r="Q65" i="5"/>
  <c r="W65" i="5" s="1"/>
  <c r="Q41" i="5"/>
  <c r="W41" i="5" s="1"/>
  <c r="Q85" i="5"/>
  <c r="W85" i="5" s="1"/>
  <c r="I33" i="5"/>
  <c r="J33" i="5" s="1"/>
  <c r="Q9" i="5"/>
  <c r="W9" i="5" s="1"/>
  <c r="Q111" i="5"/>
  <c r="W111" i="5" s="1"/>
  <c r="Q15" i="5"/>
  <c r="W15" i="5" s="1"/>
  <c r="Q8" i="5"/>
  <c r="W8" i="5" s="1"/>
  <c r="I80" i="5"/>
  <c r="J80" i="5" s="1"/>
  <c r="I14" i="5"/>
  <c r="J14" i="5" s="1"/>
  <c r="I47" i="5"/>
  <c r="J47" i="5" s="1"/>
  <c r="Q70" i="5"/>
  <c r="W70" i="5" s="1"/>
  <c r="Q92" i="5"/>
  <c r="W92" i="5" s="1"/>
  <c r="Q106" i="5"/>
  <c r="W106" i="5" s="1"/>
  <c r="Q119" i="5"/>
  <c r="W119" i="5" s="1"/>
  <c r="Q57" i="5"/>
  <c r="W57" i="5" s="1"/>
  <c r="Q129" i="5"/>
  <c r="W129" i="5" s="1"/>
  <c r="Q14" i="5"/>
  <c r="W14" i="5" s="1"/>
  <c r="Q53" i="5"/>
  <c r="W53" i="5" s="1"/>
  <c r="Q122" i="5"/>
  <c r="W122" i="5" s="1"/>
  <c r="Q48" i="5"/>
  <c r="W48" i="5" s="1"/>
  <c r="Q133" i="5"/>
  <c r="W133" i="5" s="1"/>
  <c r="Q33" i="5"/>
  <c r="W33" i="5" s="1"/>
  <c r="Q84" i="5"/>
  <c r="W84" i="5" s="1"/>
  <c r="Q113" i="5"/>
  <c r="W113" i="5" s="1"/>
  <c r="I121" i="5"/>
  <c r="J121" i="5" s="1"/>
  <c r="C56" i="2"/>
  <c r="T27" i="1" s="1"/>
  <c r="Q52" i="5"/>
  <c r="W52" i="5" s="1"/>
  <c r="Q39" i="5"/>
  <c r="W39" i="5" s="1"/>
  <c r="Q28" i="5"/>
  <c r="W28" i="5" s="1"/>
  <c r="I7" i="5"/>
  <c r="J7" i="5" s="1"/>
  <c r="Q17" i="5"/>
  <c r="W17" i="5" s="1"/>
  <c r="Q11" i="5"/>
  <c r="W11" i="5" s="1"/>
  <c r="Q95" i="5"/>
  <c r="W95" i="5" s="1"/>
  <c r="Q72" i="5"/>
  <c r="W72" i="5" s="1"/>
  <c r="Q73" i="5"/>
  <c r="W73" i="5" s="1"/>
  <c r="Q46" i="5"/>
  <c r="W46" i="5" s="1"/>
  <c r="Q123" i="5"/>
  <c r="W123" i="5" s="1"/>
  <c r="Q23" i="5"/>
  <c r="W23" i="5" s="1"/>
  <c r="Q75" i="5"/>
  <c r="W75" i="5" s="1"/>
  <c r="Q37" i="5"/>
  <c r="W37" i="5" s="1"/>
  <c r="Q96" i="5"/>
  <c r="W96" i="5" s="1"/>
  <c r="Q134" i="5"/>
  <c r="W134" i="5" s="1"/>
  <c r="I55" i="5"/>
  <c r="J55" i="5" s="1"/>
  <c r="I89" i="5"/>
  <c r="J89" i="5" s="1"/>
  <c r="Q44" i="5"/>
  <c r="W44" i="5" s="1"/>
  <c r="Q103" i="5"/>
  <c r="W103" i="5" s="1"/>
  <c r="Q63" i="5"/>
  <c r="W63" i="5" s="1"/>
  <c r="Q93" i="5"/>
  <c r="W93" i="5" s="1"/>
  <c r="Q83" i="5"/>
  <c r="W83" i="5" s="1"/>
  <c r="Q50" i="5"/>
  <c r="W50" i="5" s="1"/>
  <c r="I112" i="5"/>
  <c r="J112" i="5" s="1"/>
  <c r="Q54" i="5"/>
  <c r="W54" i="5" s="1"/>
  <c r="I124" i="5"/>
  <c r="J124" i="5" s="1"/>
  <c r="I75" i="5"/>
  <c r="J75" i="5" s="1"/>
  <c r="Q38" i="5"/>
  <c r="W38" i="5" s="1"/>
  <c r="Q112" i="5"/>
  <c r="W112" i="5" s="1"/>
  <c r="Q124" i="5"/>
  <c r="W124" i="5" s="1"/>
  <c r="I57" i="5"/>
  <c r="J57" i="5" s="1"/>
  <c r="I76" i="5"/>
  <c r="J76" i="5" s="1"/>
  <c r="Q34" i="5"/>
  <c r="W34" i="5" s="1"/>
  <c r="Q131" i="5"/>
  <c r="W131" i="5" s="1"/>
  <c r="Q132" i="5"/>
  <c r="W132" i="5" s="1"/>
  <c r="Q26" i="5"/>
  <c r="W26" i="5" s="1"/>
  <c r="Q105" i="5"/>
  <c r="W105" i="5" s="1"/>
  <c r="Q120" i="5"/>
  <c r="W120" i="5" s="1"/>
  <c r="Q60" i="5"/>
  <c r="W60" i="5" s="1"/>
  <c r="Q27" i="5"/>
  <c r="W27" i="5" s="1"/>
  <c r="Q59" i="5"/>
  <c r="W59" i="5" s="1"/>
  <c r="Q97" i="5"/>
  <c r="W97" i="5" s="1"/>
  <c r="I39" i="5"/>
  <c r="J39" i="5" s="1"/>
  <c r="Q47" i="5"/>
  <c r="W47" i="5" s="1"/>
  <c r="Q68" i="5"/>
  <c r="W68" i="5" s="1"/>
  <c r="I99" i="5"/>
  <c r="J99" i="5" s="1"/>
  <c r="I38" i="5"/>
  <c r="J38" i="5" s="1"/>
  <c r="I31" i="5"/>
  <c r="J31" i="5" s="1"/>
  <c r="Q13" i="5"/>
  <c r="W13" i="5" s="1"/>
  <c r="Q104" i="5"/>
  <c r="W104" i="5" s="1"/>
  <c r="I23" i="5"/>
  <c r="J23" i="5" s="1"/>
  <c r="Q10" i="5"/>
  <c r="W10" i="5" s="1"/>
  <c r="Q74" i="5"/>
  <c r="W74" i="5" s="1"/>
  <c r="Q135" i="5"/>
  <c r="W135" i="5" s="1"/>
  <c r="C43" i="2"/>
  <c r="T14" i="1" s="1"/>
  <c r="Q118" i="5"/>
  <c r="W118" i="5" s="1"/>
  <c r="Q67" i="5"/>
  <c r="W67" i="5" s="1"/>
  <c r="Q32" i="5"/>
  <c r="W32" i="5" s="1"/>
  <c r="Q35" i="5"/>
  <c r="W35" i="5" s="1"/>
  <c r="I120" i="5"/>
  <c r="J120" i="5" s="1"/>
  <c r="Q90" i="5"/>
  <c r="W90" i="5" s="1"/>
  <c r="Q82" i="5"/>
  <c r="W82" i="5" s="1"/>
  <c r="I116" i="5"/>
  <c r="J116" i="5" s="1"/>
  <c r="I25" i="5"/>
  <c r="J25" i="5" s="1"/>
  <c r="Q55" i="5"/>
  <c r="W55" i="5" s="1"/>
  <c r="Q78" i="5"/>
  <c r="W78" i="5" s="1"/>
  <c r="I84" i="5"/>
  <c r="J84" i="5" s="1"/>
  <c r="Q66" i="5"/>
  <c r="W66" i="5" s="1"/>
  <c r="I37" i="5"/>
  <c r="J37" i="5" s="1"/>
  <c r="Q64" i="5"/>
  <c r="W64" i="5" s="1"/>
  <c r="Q45" i="5"/>
  <c r="W45" i="5" s="1"/>
  <c r="Q12" i="5"/>
  <c r="W12" i="5" s="1"/>
  <c r="I91" i="5"/>
  <c r="J91" i="5" s="1"/>
  <c r="Q87" i="5"/>
  <c r="W87" i="5" s="1"/>
  <c r="Q86" i="5"/>
  <c r="W86" i="5" s="1"/>
  <c r="Q114" i="5"/>
  <c r="W114" i="5" s="1"/>
  <c r="Q109" i="5"/>
  <c r="W109" i="5" s="1"/>
  <c r="Q80" i="5"/>
  <c r="W80" i="5" s="1"/>
  <c r="Q115" i="5"/>
  <c r="W115" i="5" s="1"/>
  <c r="C60" i="2"/>
  <c r="T31" i="1" s="1"/>
  <c r="Q110" i="5"/>
  <c r="W110" i="5" s="1"/>
  <c r="I97" i="5"/>
  <c r="J97" i="5" s="1"/>
  <c r="Q98" i="5"/>
  <c r="W98" i="5" s="1"/>
  <c r="I92" i="5"/>
  <c r="J92" i="5" s="1"/>
  <c r="I103" i="5"/>
  <c r="J103" i="5" s="1"/>
  <c r="I68" i="5"/>
  <c r="J68" i="5" s="1"/>
  <c r="Q130" i="5"/>
  <c r="W130" i="5" s="1"/>
  <c r="Q136" i="5"/>
  <c r="W136" i="5" s="1"/>
  <c r="Q101" i="5"/>
  <c r="W101" i="5" s="1"/>
  <c r="I105" i="5"/>
  <c r="J105" i="5" s="1"/>
  <c r="I59" i="5"/>
  <c r="J59" i="5" s="1"/>
  <c r="I111" i="5"/>
  <c r="J111" i="5" s="1"/>
  <c r="I13" i="5"/>
  <c r="J13" i="5" s="1"/>
  <c r="I9" i="5"/>
  <c r="J9" i="5" s="1"/>
  <c r="I27" i="5"/>
  <c r="J27" i="5" s="1"/>
  <c r="I72" i="5"/>
  <c r="J72" i="5" s="1"/>
  <c r="I17" i="5"/>
  <c r="J17" i="5" s="1"/>
  <c r="I65" i="5"/>
  <c r="J65" i="5" s="1"/>
  <c r="I41" i="5"/>
  <c r="J41" i="5" s="1"/>
  <c r="I10" i="5"/>
  <c r="J10" i="5" s="1"/>
  <c r="I15" i="5"/>
  <c r="J15" i="5" s="1"/>
  <c r="I108" i="5"/>
  <c r="J108" i="5" s="1"/>
  <c r="I18" i="5"/>
  <c r="J18" i="5" s="1"/>
  <c r="I132" i="5"/>
  <c r="J132" i="5" s="1"/>
  <c r="I113" i="5"/>
  <c r="J113" i="5" s="1"/>
  <c r="I129" i="5"/>
  <c r="J129" i="5" s="1"/>
  <c r="I100" i="5"/>
  <c r="J100" i="5" s="1"/>
  <c r="I56" i="5"/>
  <c r="J56" i="5" s="1"/>
  <c r="I136" i="5"/>
  <c r="J136" i="5" s="1"/>
  <c r="R136" i="5" s="1"/>
  <c r="F11" i="1" s="1"/>
  <c r="I49" i="5"/>
  <c r="J49" i="5" s="1"/>
  <c r="I62" i="5"/>
  <c r="J62" i="5" s="1"/>
  <c r="I67" i="5"/>
  <c r="J67" i="5" s="1"/>
  <c r="I52" i="5"/>
  <c r="J52" i="5" s="1"/>
  <c r="I36" i="5"/>
  <c r="J36" i="5" s="1"/>
  <c r="I53" i="5"/>
  <c r="J53" i="5" s="1"/>
  <c r="I81" i="5"/>
  <c r="J81" i="5" s="1"/>
  <c r="I73" i="5"/>
  <c r="J73" i="5" s="1"/>
  <c r="I12" i="5"/>
  <c r="J12" i="5" s="1"/>
  <c r="C55" i="2"/>
  <c r="T26" i="1" s="1"/>
  <c r="I45" i="5"/>
  <c r="J45" i="5" s="1"/>
  <c r="I78" i="5"/>
  <c r="J78" i="5" s="1"/>
  <c r="I98" i="5"/>
  <c r="J98" i="5" s="1"/>
  <c r="I88" i="5"/>
  <c r="J88" i="5" s="1"/>
  <c r="I133" i="5"/>
  <c r="J133" i="5" s="1"/>
  <c r="Q40" i="5"/>
  <c r="W40" i="5" s="1"/>
  <c r="Q99" i="5"/>
  <c r="W99" i="5" s="1"/>
  <c r="Q100" i="5"/>
  <c r="W100" i="5" s="1"/>
  <c r="C36" i="1"/>
  <c r="G10" i="3"/>
  <c r="M10" i="3"/>
  <c r="Q116" i="5"/>
  <c r="W116" i="5" s="1"/>
  <c r="I79" i="5"/>
  <c r="J79" i="5" s="1"/>
  <c r="I85" i="5"/>
  <c r="J85" i="5" s="1"/>
  <c r="I26" i="5"/>
  <c r="J26" i="5" s="1"/>
  <c r="I48" i="5"/>
  <c r="J48" i="5" s="1"/>
  <c r="I87" i="5"/>
  <c r="J87" i="5" s="1"/>
  <c r="I123" i="5"/>
  <c r="J123" i="5" s="1"/>
  <c r="I64" i="5"/>
  <c r="J64" i="5" s="1"/>
  <c r="Q20" i="5"/>
  <c r="W20" i="5" s="1"/>
  <c r="I35" i="5"/>
  <c r="J35" i="5" s="1"/>
  <c r="Q102" i="5"/>
  <c r="W102" i="5" s="1"/>
  <c r="Q94" i="5"/>
  <c r="W94" i="5" s="1"/>
  <c r="Q126" i="5"/>
  <c r="W126" i="5" s="1"/>
  <c r="Q127" i="5"/>
  <c r="W127" i="5" s="1"/>
  <c r="Q69" i="5"/>
  <c r="W69" i="5" s="1"/>
  <c r="Q117" i="5"/>
  <c r="W117" i="5" s="1"/>
  <c r="Q76" i="5"/>
  <c r="W76" i="5" s="1"/>
  <c r="Q77" i="5"/>
  <c r="W77" i="5" s="1"/>
  <c r="Q108" i="5"/>
  <c r="W108" i="5" s="1"/>
  <c r="Q49" i="5"/>
  <c r="W49" i="5" s="1"/>
  <c r="Q128" i="5"/>
  <c r="W128" i="5" s="1"/>
  <c r="M41" i="1"/>
  <c r="C50" i="2"/>
  <c r="T21" i="1" s="1"/>
  <c r="Q81" i="5"/>
  <c r="W81" i="5" s="1"/>
  <c r="C38" i="2"/>
  <c r="T9" i="1" s="1"/>
  <c r="Q21" i="5"/>
  <c r="W21" i="5" s="1"/>
  <c r="Q22" i="5"/>
  <c r="W22" i="5" s="1"/>
  <c r="Q125" i="5"/>
  <c r="W125" i="5" s="1"/>
  <c r="Q107" i="5"/>
  <c r="W107" i="5" s="1"/>
  <c r="C52" i="2"/>
  <c r="T23" i="1" s="1"/>
  <c r="Q91" i="5"/>
  <c r="W91" i="5" s="1"/>
  <c r="I22" i="5"/>
  <c r="J22" i="5" s="1"/>
  <c r="I101" i="5"/>
  <c r="J101" i="5" s="1"/>
  <c r="I134" i="5"/>
  <c r="J134" i="5" s="1"/>
  <c r="I102" i="5"/>
  <c r="J102" i="5" s="1"/>
  <c r="L103" i="5" s="1"/>
  <c r="V103" i="5" s="1"/>
  <c r="G11" i="3"/>
  <c r="M11" i="3"/>
  <c r="C37" i="1"/>
  <c r="Q79" i="5"/>
  <c r="W79" i="5" s="1"/>
  <c r="Q88" i="5"/>
  <c r="W88" i="5" s="1"/>
  <c r="Q89" i="5"/>
  <c r="W89" i="5" s="1"/>
  <c r="I8" i="5"/>
  <c r="J8" i="5" s="1"/>
  <c r="I43" i="5"/>
  <c r="J43" i="5" s="1"/>
  <c r="I104" i="5"/>
  <c r="J104" i="5" s="1"/>
  <c r="I46" i="5"/>
  <c r="J46" i="5" s="1"/>
  <c r="I58" i="5"/>
  <c r="J58" i="5" s="1"/>
  <c r="I118" i="5"/>
  <c r="J118" i="5" s="1"/>
  <c r="I20" i="5"/>
  <c r="J20" i="5" s="1"/>
  <c r="I61" i="5"/>
  <c r="J61" i="5" s="1"/>
  <c r="I29" i="5"/>
  <c r="J29" i="5" s="1"/>
  <c r="I24" i="5"/>
  <c r="J24" i="5" s="1"/>
  <c r="Q29" i="5"/>
  <c r="W29" i="5" s="1"/>
  <c r="Q30" i="5"/>
  <c r="W30" i="5" s="1"/>
  <c r="C40" i="2"/>
  <c r="T11" i="1" s="1"/>
  <c r="Q31" i="5"/>
  <c r="W31" i="5" s="1"/>
  <c r="Q51" i="5"/>
  <c r="W51" i="5" s="1"/>
  <c r="I32" i="5"/>
  <c r="J32" i="5" s="1"/>
  <c r="I16" i="5"/>
  <c r="J16" i="5" s="1"/>
  <c r="I83" i="5"/>
  <c r="J83" i="5" s="1"/>
  <c r="I54" i="5"/>
  <c r="J54" i="5" s="1"/>
  <c r="I86" i="5"/>
  <c r="J86" i="5" s="1"/>
  <c r="I125" i="5"/>
  <c r="J125" i="5" s="1"/>
  <c r="I114" i="5"/>
  <c r="J114" i="5" s="1"/>
  <c r="I122" i="5"/>
  <c r="J122" i="5" s="1"/>
  <c r="I70" i="5"/>
  <c r="J70" i="5" s="1"/>
  <c r="I94" i="5"/>
  <c r="J94" i="5" s="1"/>
  <c r="I128" i="5"/>
  <c r="J128" i="5" s="1"/>
  <c r="I131" i="5"/>
  <c r="J131" i="5" s="1"/>
  <c r="I71" i="5"/>
  <c r="J71" i="5" s="1"/>
  <c r="I110" i="5"/>
  <c r="J110" i="5" s="1"/>
  <c r="I90" i="5"/>
  <c r="J90" i="5" s="1"/>
  <c r="I96" i="5"/>
  <c r="J96" i="5" s="1"/>
  <c r="B8" i="9"/>
  <c r="D8" i="9" s="1"/>
  <c r="I28" i="5"/>
  <c r="J28" i="5" s="1"/>
  <c r="I34" i="5"/>
  <c r="J34" i="5" s="1"/>
  <c r="I135" i="5"/>
  <c r="J135" i="5" s="1"/>
  <c r="I66" i="5"/>
  <c r="J66" i="5" s="1"/>
  <c r="I109" i="5"/>
  <c r="J109" i="5" s="1"/>
  <c r="I107" i="5"/>
  <c r="J107" i="5" s="1"/>
  <c r="I60" i="5"/>
  <c r="J60" i="5" s="1"/>
  <c r="I42" i="5"/>
  <c r="J42" i="5" s="1"/>
  <c r="I69" i="5"/>
  <c r="J69" i="5" s="1"/>
  <c r="I127" i="5"/>
  <c r="J127" i="5" s="1"/>
  <c r="L128" i="5" s="1"/>
  <c r="V128" i="5" s="1"/>
  <c r="I119" i="5"/>
  <c r="J119" i="5" s="1"/>
  <c r="C35" i="1"/>
  <c r="G9" i="3"/>
  <c r="M9" i="3"/>
  <c r="E40" i="1"/>
  <c r="I11" i="5"/>
  <c r="J11" i="5" s="1"/>
  <c r="I50" i="5"/>
  <c r="J50" i="5" s="1"/>
  <c r="I115" i="5"/>
  <c r="J115" i="5" s="1"/>
  <c r="I126" i="5"/>
  <c r="J126" i="5" s="1"/>
  <c r="Q71" i="5"/>
  <c r="W71" i="5" s="1"/>
  <c r="Q121" i="5"/>
  <c r="W121" i="5" s="1"/>
  <c r="I19" i="5"/>
  <c r="J19" i="5" s="1"/>
  <c r="I93" i="5"/>
  <c r="J93" i="5" s="1"/>
  <c r="Q36" i="5"/>
  <c r="W36" i="5" s="1"/>
  <c r="I40" i="5"/>
  <c r="J40" i="5" s="1"/>
  <c r="I74" i="5"/>
  <c r="J74" i="5" s="1"/>
  <c r="I63" i="5"/>
  <c r="J63" i="5" s="1"/>
  <c r="J12" i="3"/>
  <c r="G38" i="1" s="1"/>
  <c r="E38" i="1"/>
  <c r="C9" i="2"/>
  <c r="C61" i="2"/>
  <c r="T32" i="1" s="1"/>
  <c r="I51" i="5"/>
  <c r="J51" i="5" s="1"/>
  <c r="I44" i="5"/>
  <c r="J44" i="5" s="1"/>
  <c r="I82" i="5"/>
  <c r="J82" i="5" s="1"/>
  <c r="I77" i="5"/>
  <c r="J77" i="5" s="1"/>
  <c r="Q58" i="5"/>
  <c r="W58" i="5" s="1"/>
  <c r="I30" i="5"/>
  <c r="J30" i="5" s="1"/>
  <c r="Q56" i="5"/>
  <c r="W56" i="5" s="1"/>
  <c r="Q61" i="5"/>
  <c r="W61" i="5" s="1"/>
  <c r="E33" i="1"/>
  <c r="I21" i="5"/>
  <c r="J21" i="5" s="1"/>
  <c r="I117" i="5"/>
  <c r="J117" i="5" s="1"/>
  <c r="I106" i="5"/>
  <c r="J106" i="5" s="1"/>
  <c r="I130" i="5"/>
  <c r="J130" i="5" s="1"/>
  <c r="I95" i="5"/>
  <c r="J95" i="5" s="1"/>
  <c r="E108" i="16" l="1"/>
  <c r="E91" i="16"/>
  <c r="E85" i="16"/>
  <c r="E68" i="16"/>
  <c r="E147" i="16"/>
  <c r="E162" i="16"/>
  <c r="E121" i="16"/>
  <c r="G16" i="17"/>
  <c r="F16" i="17"/>
  <c r="E16" i="17"/>
  <c r="D16" i="17"/>
  <c r="C16" i="17"/>
  <c r="B16" i="17"/>
  <c r="G23" i="17"/>
  <c r="F23" i="17"/>
  <c r="E23" i="17"/>
  <c r="D23" i="17"/>
  <c r="C23" i="17"/>
  <c r="B23" i="17"/>
  <c r="G14" i="17"/>
  <c r="F14" i="17"/>
  <c r="E14" i="17"/>
  <c r="D14" i="17"/>
  <c r="C14" i="17"/>
  <c r="B14" i="17"/>
  <c r="G21" i="17"/>
  <c r="F21" i="17"/>
  <c r="E21" i="17"/>
  <c r="D21" i="17"/>
  <c r="C21" i="17"/>
  <c r="B21" i="17"/>
  <c r="G25" i="17"/>
  <c r="F25" i="17"/>
  <c r="E25" i="17"/>
  <c r="D25" i="17"/>
  <c r="C25" i="17"/>
  <c r="B25" i="17"/>
  <c r="G19" i="17"/>
  <c r="F19" i="17"/>
  <c r="E19" i="17"/>
  <c r="D19" i="17"/>
  <c r="C19" i="17"/>
  <c r="B19" i="17"/>
  <c r="G26" i="17"/>
  <c r="F26" i="17"/>
  <c r="E26" i="17"/>
  <c r="D26" i="17"/>
  <c r="C26" i="17"/>
  <c r="B26" i="17"/>
  <c r="G17" i="17"/>
  <c r="F17" i="17"/>
  <c r="E17" i="17"/>
  <c r="D17" i="17"/>
  <c r="C17" i="17"/>
  <c r="B17" i="17"/>
  <c r="F24" i="17"/>
  <c r="E24" i="17"/>
  <c r="D24" i="17"/>
  <c r="C24" i="17"/>
  <c r="B24" i="17"/>
  <c r="G24" i="17"/>
  <c r="E15" i="17"/>
  <c r="D15" i="17"/>
  <c r="C15" i="17"/>
  <c r="B15" i="17"/>
  <c r="G15" i="17"/>
  <c r="F15" i="17"/>
  <c r="G18" i="17"/>
  <c r="F18" i="17"/>
  <c r="E18" i="17"/>
  <c r="D18" i="17"/>
  <c r="C18" i="17"/>
  <c r="B18" i="17"/>
  <c r="D22" i="17"/>
  <c r="C22" i="17"/>
  <c r="B22" i="17"/>
  <c r="G22" i="17"/>
  <c r="F22" i="17"/>
  <c r="E22" i="17"/>
  <c r="C13" i="17"/>
  <c r="B13" i="17"/>
  <c r="G13" i="17"/>
  <c r="F13" i="17"/>
  <c r="E13" i="17"/>
  <c r="D13" i="17"/>
  <c r="B20" i="17"/>
  <c r="G20" i="17"/>
  <c r="F20" i="17"/>
  <c r="E20" i="17"/>
  <c r="D20" i="17"/>
  <c r="C20" i="17"/>
  <c r="G27" i="17"/>
  <c r="F27" i="17"/>
  <c r="E27" i="17"/>
  <c r="D27" i="17"/>
  <c r="C27" i="17"/>
  <c r="B27" i="17"/>
  <c r="R42" i="4"/>
  <c r="R41" i="4"/>
  <c r="E67" i="16"/>
  <c r="E53" i="16"/>
  <c r="E87" i="16"/>
  <c r="E164" i="16"/>
  <c r="E69" i="16"/>
  <c r="E125" i="16"/>
  <c r="F154" i="16" s="1"/>
  <c r="E132" i="16"/>
  <c r="E102" i="16"/>
  <c r="E99" i="16"/>
  <c r="F142" i="16" s="1"/>
  <c r="E76" i="16"/>
  <c r="E49" i="16"/>
  <c r="E148" i="16"/>
  <c r="L23" i="5"/>
  <c r="V23" i="5" s="1"/>
  <c r="E55" i="16"/>
  <c r="E140" i="16"/>
  <c r="E109" i="16"/>
  <c r="J8" i="3"/>
  <c r="G34" i="1" s="1"/>
  <c r="E78" i="16"/>
  <c r="E142" i="16"/>
  <c r="E113" i="16"/>
  <c r="E163" i="16"/>
  <c r="E81" i="16"/>
  <c r="F140" i="16"/>
  <c r="E129" i="16"/>
  <c r="A13" i="16"/>
  <c r="E131" i="16"/>
  <c r="F144" i="16" s="1"/>
  <c r="L116" i="5"/>
  <c r="V116" i="5" s="1"/>
  <c r="E115" i="16"/>
  <c r="L112" i="5"/>
  <c r="V112" i="5" s="1"/>
  <c r="L45" i="5"/>
  <c r="V45" i="5" s="1"/>
  <c r="L12" i="5"/>
  <c r="V12" i="5" s="1"/>
  <c r="X12" i="13"/>
  <c r="H12" i="13" s="1"/>
  <c r="K21" i="16"/>
  <c r="H21" i="16"/>
  <c r="D21" i="16"/>
  <c r="X10" i="13"/>
  <c r="H10" i="13" s="1"/>
  <c r="L83" i="5"/>
  <c r="V83" i="5" s="1"/>
  <c r="X11" i="13"/>
  <c r="H11" i="13" s="1"/>
  <c r="I42" i="15"/>
  <c r="E9" i="15"/>
  <c r="G42" i="15"/>
  <c r="H9" i="15" s="1"/>
  <c r="B12" i="15"/>
  <c r="E12" i="15"/>
  <c r="H42" i="15"/>
  <c r="L29" i="5"/>
  <c r="V29" i="5" s="1"/>
  <c r="E8" i="13"/>
  <c r="H12" i="15"/>
  <c r="L92" i="5"/>
  <c r="V92" i="5" s="1"/>
  <c r="L131" i="5"/>
  <c r="V131" i="5" s="1"/>
  <c r="L91" i="5"/>
  <c r="V91" i="5" s="1"/>
  <c r="L61" i="5"/>
  <c r="V61" i="5" s="1"/>
  <c r="L37" i="5"/>
  <c r="V37" i="5" s="1"/>
  <c r="L105" i="5"/>
  <c r="V105" i="5" s="1"/>
  <c r="L39" i="5"/>
  <c r="V39" i="5" s="1"/>
  <c r="L35" i="5"/>
  <c r="V35" i="5" s="1"/>
  <c r="L100" i="5"/>
  <c r="V100" i="5" s="1"/>
  <c r="L15" i="5"/>
  <c r="V15" i="5" s="1"/>
  <c r="L81" i="5"/>
  <c r="V81" i="5" s="1"/>
  <c r="E9" i="13"/>
  <c r="X9" i="13"/>
  <c r="H9" i="13" s="1"/>
  <c r="E13" i="13"/>
  <c r="X13" i="13"/>
  <c r="H13" i="13" s="1"/>
  <c r="X8" i="13"/>
  <c r="H8" i="13" s="1"/>
  <c r="L65" i="5"/>
  <c r="V65" i="5" s="1"/>
  <c r="L20" i="5"/>
  <c r="V20" i="5" s="1"/>
  <c r="L84" i="5"/>
  <c r="V84" i="5" s="1"/>
  <c r="L52" i="5"/>
  <c r="V52" i="5" s="1"/>
  <c r="L107" i="5"/>
  <c r="V107" i="5" s="1"/>
  <c r="L36" i="5"/>
  <c r="V36" i="5" s="1"/>
  <c r="L118" i="5"/>
  <c r="V118" i="5" s="1"/>
  <c r="L41" i="5"/>
  <c r="V41" i="5" s="1"/>
  <c r="L70" i="5"/>
  <c r="V70" i="5" s="1"/>
  <c r="L97" i="5"/>
  <c r="V97" i="5" s="1"/>
  <c r="L75" i="5"/>
  <c r="V75" i="5" s="1"/>
  <c r="L129" i="5"/>
  <c r="V129" i="5" s="1"/>
  <c r="L18" i="5"/>
  <c r="V18" i="5" s="1"/>
  <c r="L78" i="5"/>
  <c r="V78" i="5" s="1"/>
  <c r="L136" i="5"/>
  <c r="V136" i="5" s="1"/>
  <c r="L68" i="5"/>
  <c r="V68" i="5" s="1"/>
  <c r="L73" i="5"/>
  <c r="V73" i="5" s="1"/>
  <c r="L26" i="5"/>
  <c r="V26" i="5" s="1"/>
  <c r="L56" i="5"/>
  <c r="V56" i="5" s="1"/>
  <c r="L89" i="5"/>
  <c r="V89" i="5" s="1"/>
  <c r="L121" i="5"/>
  <c r="V121" i="5" s="1"/>
  <c r="L33" i="5"/>
  <c r="V33" i="5" s="1"/>
  <c r="L17" i="5"/>
  <c r="V17" i="5" s="1"/>
  <c r="L64" i="5"/>
  <c r="V64" i="5" s="1"/>
  <c r="L80" i="5"/>
  <c r="V80" i="5" s="1"/>
  <c r="L102" i="5"/>
  <c r="V102" i="5" s="1"/>
  <c r="L9" i="5"/>
  <c r="V9" i="5" s="1"/>
  <c r="L55" i="5"/>
  <c r="V55" i="5" s="1"/>
  <c r="L47" i="5"/>
  <c r="V47" i="5" s="1"/>
  <c r="L111" i="5"/>
  <c r="V111" i="5" s="1"/>
  <c r="L99" i="5"/>
  <c r="V99" i="5" s="1"/>
  <c r="L76" i="5"/>
  <c r="V76" i="5" s="1"/>
  <c r="L72" i="5"/>
  <c r="V72" i="5" s="1"/>
  <c r="L79" i="5"/>
  <c r="V79" i="5" s="1"/>
  <c r="L46" i="5"/>
  <c r="V46" i="5" s="1"/>
  <c r="L120" i="5"/>
  <c r="V120" i="5" s="1"/>
  <c r="L49" i="5"/>
  <c r="V49" i="5" s="1"/>
  <c r="L25" i="5"/>
  <c r="V25" i="5" s="1"/>
  <c r="L13" i="5"/>
  <c r="V13" i="5" s="1"/>
  <c r="L43" i="5"/>
  <c r="V43" i="5" s="1"/>
  <c r="L71" i="5"/>
  <c r="V71" i="5" s="1"/>
  <c r="L135" i="5"/>
  <c r="V135" i="5" s="1"/>
  <c r="L57" i="5"/>
  <c r="V57" i="5" s="1"/>
  <c r="L16" i="5"/>
  <c r="V16" i="5" s="1"/>
  <c r="L62" i="5"/>
  <c r="V62" i="5" s="1"/>
  <c r="L21" i="5"/>
  <c r="V21" i="5" s="1"/>
  <c r="L11" i="5"/>
  <c r="V11" i="5" s="1"/>
  <c r="L31" i="5"/>
  <c r="V31" i="5" s="1"/>
  <c r="L67" i="5"/>
  <c r="V67" i="5" s="1"/>
  <c r="L87" i="5"/>
  <c r="V87" i="5" s="1"/>
  <c r="L59" i="5"/>
  <c r="V59" i="5" s="1"/>
  <c r="L53" i="5"/>
  <c r="V53" i="5" s="1"/>
  <c r="C10" i="2"/>
  <c r="L123" i="5"/>
  <c r="V123" i="5" s="1"/>
  <c r="L122" i="5"/>
  <c r="V122" i="5" s="1"/>
  <c r="L127" i="5"/>
  <c r="V127" i="5" s="1"/>
  <c r="L96" i="5"/>
  <c r="V96" i="5" s="1"/>
  <c r="L51" i="5"/>
  <c r="V51" i="5" s="1"/>
  <c r="L110" i="5"/>
  <c r="V110" i="5" s="1"/>
  <c r="L95" i="5"/>
  <c r="V95" i="5" s="1"/>
  <c r="L119" i="5"/>
  <c r="V119" i="5" s="1"/>
  <c r="L93" i="5"/>
  <c r="V93" i="5" s="1"/>
  <c r="E36" i="1"/>
  <c r="L90" i="5"/>
  <c r="V90" i="5" s="1"/>
  <c r="L50" i="5"/>
  <c r="V50" i="5" s="1"/>
  <c r="L115" i="5"/>
  <c r="V115" i="5" s="1"/>
  <c r="J9" i="3"/>
  <c r="G35" i="1" s="1"/>
  <c r="E35" i="1"/>
  <c r="L44" i="5"/>
  <c r="V44" i="5" s="1"/>
  <c r="L8" i="5"/>
  <c r="V8" i="5" s="1"/>
  <c r="L7" i="5"/>
  <c r="M7" i="5" s="1"/>
  <c r="L133" i="5"/>
  <c r="V133" i="5" s="1"/>
  <c r="E37" i="1"/>
  <c r="J11" i="3"/>
  <c r="G37" i="1" s="1"/>
  <c r="L60" i="5"/>
  <c r="V60" i="5" s="1"/>
  <c r="L42" i="5"/>
  <c r="V42" i="5" s="1"/>
  <c r="L114" i="5"/>
  <c r="V114" i="5" s="1"/>
  <c r="I10" i="3"/>
  <c r="J10" i="3" s="1"/>
  <c r="G36" i="1" s="1"/>
  <c r="K10" i="3"/>
  <c r="H36" i="1" s="1"/>
  <c r="L125" i="5"/>
  <c r="V125" i="5" s="1"/>
  <c r="L10" i="5"/>
  <c r="V10" i="5" s="1"/>
  <c r="L98" i="5"/>
  <c r="V98" i="5" s="1"/>
  <c r="L54" i="5"/>
  <c r="V54" i="5" s="1"/>
  <c r="L66" i="5"/>
  <c r="V66" i="5" s="1"/>
  <c r="L85" i="5"/>
  <c r="V85" i="5" s="1"/>
  <c r="L63" i="5"/>
  <c r="V63" i="5" s="1"/>
  <c r="L134" i="5"/>
  <c r="V134" i="5" s="1"/>
  <c r="L22" i="5"/>
  <c r="V22" i="5" s="1"/>
  <c r="L94" i="5"/>
  <c r="V94" i="5" s="1"/>
  <c r="L48" i="5"/>
  <c r="V48" i="5" s="1"/>
  <c r="L19" i="5"/>
  <c r="V19" i="5" s="1"/>
  <c r="L24" i="5"/>
  <c r="V24" i="5" s="1"/>
  <c r="L126" i="5"/>
  <c r="V126" i="5" s="1"/>
  <c r="L74" i="5"/>
  <c r="V74" i="5" s="1"/>
  <c r="A13" i="1"/>
  <c r="L109" i="5"/>
  <c r="V109" i="5" s="1"/>
  <c r="L27" i="5"/>
  <c r="V27" i="5" s="1"/>
  <c r="L14" i="5"/>
  <c r="V14" i="5" s="1"/>
  <c r="L30" i="5"/>
  <c r="V30" i="5" s="1"/>
  <c r="L132" i="5"/>
  <c r="V132" i="5" s="1"/>
  <c r="L40" i="5"/>
  <c r="V40" i="5" s="1"/>
  <c r="L101" i="5"/>
  <c r="V101" i="5" s="1"/>
  <c r="L34" i="5"/>
  <c r="V34" i="5" s="1"/>
  <c r="L113" i="5"/>
  <c r="V113" i="5" s="1"/>
  <c r="L88" i="5"/>
  <c r="V88" i="5" s="1"/>
  <c r="L124" i="5"/>
  <c r="V124" i="5" s="1"/>
  <c r="L104" i="5"/>
  <c r="V104" i="5" s="1"/>
  <c r="L86" i="5"/>
  <c r="V86" i="5" s="1"/>
  <c r="L28" i="5"/>
  <c r="V28" i="5" s="1"/>
  <c r="L106" i="5"/>
  <c r="V106" i="5" s="1"/>
  <c r="L58" i="5"/>
  <c r="V58" i="5" s="1"/>
  <c r="L130" i="5"/>
  <c r="V130" i="5" s="1"/>
  <c r="L32" i="5"/>
  <c r="V32" i="5" s="1"/>
  <c r="L117" i="5"/>
  <c r="V117" i="5" s="1"/>
  <c r="L69" i="5"/>
  <c r="V69" i="5" s="1"/>
  <c r="I7" i="3"/>
  <c r="J7" i="3" s="1"/>
  <c r="G33" i="1" s="1"/>
  <c r="K7" i="3"/>
  <c r="H33" i="1" s="1"/>
  <c r="G14" i="3"/>
  <c r="G16" i="3" s="1"/>
  <c r="L82" i="5"/>
  <c r="V82" i="5" s="1"/>
  <c r="L108" i="5"/>
  <c r="V108" i="5" s="1"/>
  <c r="L77" i="5"/>
  <c r="V77" i="5" s="1"/>
  <c r="L38" i="5"/>
  <c r="V38" i="5" s="1"/>
  <c r="F171" i="16" l="1"/>
  <c r="F99" i="16"/>
  <c r="F168" i="16"/>
  <c r="F157" i="16"/>
  <c r="F152" i="16"/>
  <c r="F150" i="16"/>
  <c r="F170" i="16"/>
  <c r="F167" i="16"/>
  <c r="F151" i="16"/>
  <c r="F155" i="16"/>
  <c r="F133" i="16"/>
  <c r="O133" i="16" s="1"/>
  <c r="F131" i="16"/>
  <c r="F143" i="16"/>
  <c r="O143" i="16" s="1"/>
  <c r="F135" i="16"/>
  <c r="F137" i="16"/>
  <c r="F101" i="16"/>
  <c r="F125" i="16"/>
  <c r="O125" i="16" s="1"/>
  <c r="F107" i="16"/>
  <c r="F95" i="16"/>
  <c r="O95" i="16" s="1"/>
  <c r="F94" i="16"/>
  <c r="F165" i="16"/>
  <c r="F108" i="16"/>
  <c r="F172" i="16"/>
  <c r="F166" i="16"/>
  <c r="F132" i="16"/>
  <c r="F162" i="16"/>
  <c r="F134" i="16"/>
  <c r="O134" i="16" s="1"/>
  <c r="F169" i="16"/>
  <c r="O169" i="16" s="1"/>
  <c r="F136" i="16"/>
  <c r="O136" i="16" s="1"/>
  <c r="F146" i="16"/>
  <c r="O146" i="16" s="1"/>
  <c r="F138" i="16"/>
  <c r="F147" i="16"/>
  <c r="F149" i="16"/>
  <c r="O149" i="16" s="1"/>
  <c r="F158" i="16"/>
  <c r="O158" i="16" s="1"/>
  <c r="B14" i="15"/>
  <c r="B22" i="16"/>
  <c r="F104" i="16"/>
  <c r="F126" i="16"/>
  <c r="F128" i="16"/>
  <c r="F127" i="16"/>
  <c r="O127" i="16" s="1"/>
  <c r="F130" i="16"/>
  <c r="F129" i="16"/>
  <c r="F103" i="16"/>
  <c r="O103" i="16" s="1"/>
  <c r="F119" i="16"/>
  <c r="O119" i="16" s="1"/>
  <c r="F120" i="16"/>
  <c r="O120" i="16" s="1"/>
  <c r="F117" i="16"/>
  <c r="O117" i="16" s="1"/>
  <c r="F122" i="16"/>
  <c r="F96" i="16"/>
  <c r="O96" i="16" s="1"/>
  <c r="F163" i="16"/>
  <c r="O163" i="16" s="1"/>
  <c r="F164" i="16"/>
  <c r="F139" i="16"/>
  <c r="O139" i="16" s="1"/>
  <c r="F109" i="16"/>
  <c r="O109" i="16" s="1"/>
  <c r="F106" i="16"/>
  <c r="F118" i="16"/>
  <c r="O118" i="16" s="1"/>
  <c r="F161" i="16"/>
  <c r="O161" i="16" s="1"/>
  <c r="F159" i="16"/>
  <c r="O159" i="16" s="1"/>
  <c r="F100" i="16"/>
  <c r="F121" i="16"/>
  <c r="F102" i="16"/>
  <c r="O102" i="16" s="1"/>
  <c r="F141" i="16"/>
  <c r="O141" i="16" s="1"/>
  <c r="F145" i="16"/>
  <c r="O145" i="16" s="1"/>
  <c r="F97" i="16"/>
  <c r="O97" i="16" s="1"/>
  <c r="F114" i="16"/>
  <c r="F113" i="16"/>
  <c r="O113" i="16" s="1"/>
  <c r="F98" i="16"/>
  <c r="O98" i="16" s="1"/>
  <c r="F116" i="16"/>
  <c r="A24" i="16"/>
  <c r="B12" i="16" s="1"/>
  <c r="O45" i="16"/>
  <c r="O53" i="16"/>
  <c r="O61" i="16"/>
  <c r="O69" i="16"/>
  <c r="O77" i="16"/>
  <c r="O85" i="16"/>
  <c r="O93" i="16"/>
  <c r="O101" i="16"/>
  <c r="O157" i="16"/>
  <c r="O165" i="16"/>
  <c r="O181" i="16"/>
  <c r="O189" i="16"/>
  <c r="O197" i="16"/>
  <c r="O205" i="16"/>
  <c r="O213" i="16"/>
  <c r="O221" i="16"/>
  <c r="O229" i="16"/>
  <c r="O237" i="16"/>
  <c r="O245" i="16"/>
  <c r="O46" i="16"/>
  <c r="O54" i="16"/>
  <c r="O62" i="16"/>
  <c r="O70" i="16"/>
  <c r="O78" i="16"/>
  <c r="O86" i="16"/>
  <c r="O94" i="16"/>
  <c r="O126" i="16"/>
  <c r="O142" i="16"/>
  <c r="O150" i="16"/>
  <c r="O166" i="16"/>
  <c r="O182" i="16"/>
  <c r="O190" i="16"/>
  <c r="O198" i="16"/>
  <c r="O206" i="16"/>
  <c r="O214" i="16"/>
  <c r="O222" i="16"/>
  <c r="O230" i="16"/>
  <c r="O238" i="16"/>
  <c r="N47" i="16"/>
  <c r="N55" i="16"/>
  <c r="N63" i="16"/>
  <c r="N71" i="16"/>
  <c r="N79" i="16"/>
  <c r="N87" i="16"/>
  <c r="N95" i="16"/>
  <c r="N103" i="16"/>
  <c r="N111" i="16"/>
  <c r="N119" i="16"/>
  <c r="N127" i="16"/>
  <c r="N135" i="16"/>
  <c r="N143" i="16"/>
  <c r="N151" i="16"/>
  <c r="N159" i="16"/>
  <c r="N167" i="16"/>
  <c r="N175" i="16"/>
  <c r="N183" i="16"/>
  <c r="N191" i="16"/>
  <c r="N199" i="16"/>
  <c r="N207" i="16"/>
  <c r="N215" i="16"/>
  <c r="N223" i="16"/>
  <c r="N231" i="16"/>
  <c r="N239" i="16"/>
  <c r="N247" i="16"/>
  <c r="N255" i="16"/>
  <c r="N263" i="16"/>
  <c r="N271" i="16"/>
  <c r="N279" i="16"/>
  <c r="N287" i="16"/>
  <c r="N295" i="16"/>
  <c r="N303" i="16"/>
  <c r="N311" i="16"/>
  <c r="N319" i="16"/>
  <c r="N327" i="16"/>
  <c r="N335" i="16"/>
  <c r="N343" i="16"/>
  <c r="N351" i="16"/>
  <c r="N359" i="16"/>
  <c r="N367" i="16"/>
  <c r="N375" i="16"/>
  <c r="N383" i="16"/>
  <c r="N391" i="16"/>
  <c r="N399" i="16"/>
  <c r="N407" i="16"/>
  <c r="N415" i="16"/>
  <c r="N423" i="16"/>
  <c r="N431" i="16"/>
  <c r="N439" i="16"/>
  <c r="N447" i="16"/>
  <c r="N455" i="16"/>
  <c r="N463" i="16"/>
  <c r="N471" i="16"/>
  <c r="N479" i="16"/>
  <c r="N487" i="16"/>
  <c r="N495" i="16"/>
  <c r="N503" i="16"/>
  <c r="N511" i="16"/>
  <c r="N519" i="16"/>
  <c r="N527" i="16"/>
  <c r="N535" i="16"/>
  <c r="N543" i="16"/>
  <c r="N551" i="16"/>
  <c r="N559" i="16"/>
  <c r="N567" i="16"/>
  <c r="N575" i="16"/>
  <c r="N583" i="16"/>
  <c r="N591" i="16"/>
  <c r="N599" i="16"/>
  <c r="N607" i="16"/>
  <c r="O47" i="16"/>
  <c r="O55" i="16"/>
  <c r="O63" i="16"/>
  <c r="O71" i="16"/>
  <c r="O79" i="16"/>
  <c r="O87" i="16"/>
  <c r="O135" i="16"/>
  <c r="O151" i="16"/>
  <c r="O167" i="16"/>
  <c r="O175" i="16"/>
  <c r="O183" i="16"/>
  <c r="O191" i="16"/>
  <c r="O199" i="16"/>
  <c r="O207" i="16"/>
  <c r="O215" i="16"/>
  <c r="O223" i="16"/>
  <c r="O231" i="16"/>
  <c r="O239" i="16"/>
  <c r="O247" i="16"/>
  <c r="O255" i="16"/>
  <c r="O263" i="16"/>
  <c r="O271" i="16"/>
  <c r="O279" i="16"/>
  <c r="O287" i="16"/>
  <c r="N48" i="16"/>
  <c r="N56" i="16"/>
  <c r="N64" i="16"/>
  <c r="N72" i="16"/>
  <c r="N80" i="16"/>
  <c r="N88" i="16"/>
  <c r="N96" i="16"/>
  <c r="O48" i="16"/>
  <c r="O56" i="16"/>
  <c r="O64" i="16"/>
  <c r="O72" i="16"/>
  <c r="O80" i="16"/>
  <c r="O88" i="16"/>
  <c r="O104" i="16"/>
  <c r="O128" i="16"/>
  <c r="O144" i="16"/>
  <c r="O152" i="16"/>
  <c r="O168" i="16"/>
  <c r="O176" i="16"/>
  <c r="O184" i="16"/>
  <c r="O192" i="16"/>
  <c r="O200" i="16"/>
  <c r="O208" i="16"/>
  <c r="O216" i="16"/>
  <c r="O224" i="16"/>
  <c r="O232" i="16"/>
  <c r="O240" i="16"/>
  <c r="O248" i="16"/>
  <c r="O256" i="16"/>
  <c r="O264" i="16"/>
  <c r="O272" i="16"/>
  <c r="O280" i="16"/>
  <c r="O288" i="16"/>
  <c r="O296" i="16"/>
  <c r="O304" i="16"/>
  <c r="O312" i="16"/>
  <c r="O320" i="16"/>
  <c r="O328" i="16"/>
  <c r="O336" i="16"/>
  <c r="O344" i="16"/>
  <c r="O352" i="16"/>
  <c r="O360" i="16"/>
  <c r="O368" i="16"/>
  <c r="O376" i="16"/>
  <c r="O384" i="16"/>
  <c r="O392" i="16"/>
  <c r="O400" i="16"/>
  <c r="O408" i="16"/>
  <c r="O416" i="16"/>
  <c r="O424" i="16"/>
  <c r="O432" i="16"/>
  <c r="O440" i="16"/>
  <c r="O448" i="16"/>
  <c r="O456" i="16"/>
  <c r="O464" i="16"/>
  <c r="O472" i="16"/>
  <c r="O480" i="16"/>
  <c r="O488" i="16"/>
  <c r="O496" i="16"/>
  <c r="O504" i="16"/>
  <c r="O512" i="16"/>
  <c r="O520" i="16"/>
  <c r="O528" i="16"/>
  <c r="O536" i="16"/>
  <c r="O544" i="16"/>
  <c r="O552" i="16"/>
  <c r="O560" i="16"/>
  <c r="O568" i="16"/>
  <c r="O576" i="16"/>
  <c r="O584" i="16"/>
  <c r="O592" i="16"/>
  <c r="O600" i="16"/>
  <c r="O608" i="16"/>
  <c r="O616" i="16"/>
  <c r="O624" i="16"/>
  <c r="O632" i="16"/>
  <c r="O640" i="16"/>
  <c r="O648" i="16"/>
  <c r="O656" i="16"/>
  <c r="O664" i="16"/>
  <c r="O672" i="16"/>
  <c r="O680" i="16"/>
  <c r="O688" i="16"/>
  <c r="O696" i="16"/>
  <c r="B17" i="16"/>
  <c r="O49" i="16"/>
  <c r="O57" i="16"/>
  <c r="O65" i="16"/>
  <c r="O73" i="16"/>
  <c r="O81" i="16"/>
  <c r="O89" i="16"/>
  <c r="O121" i="16"/>
  <c r="O129" i="16"/>
  <c r="O137" i="16"/>
  <c r="O177" i="16"/>
  <c r="O185" i="16"/>
  <c r="O193" i="16"/>
  <c r="O201" i="16"/>
  <c r="O209" i="16"/>
  <c r="O217" i="16"/>
  <c r="O225" i="16"/>
  <c r="O233" i="16"/>
  <c r="O241" i="16"/>
  <c r="O249" i="16"/>
  <c r="O257" i="16"/>
  <c r="O265" i="16"/>
  <c r="O273" i="16"/>
  <c r="O281" i="16"/>
  <c r="O289" i="16"/>
  <c r="O297" i="16"/>
  <c r="O305" i="16"/>
  <c r="O313" i="16"/>
  <c r="O321" i="16"/>
  <c r="O329" i="16"/>
  <c r="O337" i="16"/>
  <c r="O345" i="16"/>
  <c r="O353" i="16"/>
  <c r="O361" i="16"/>
  <c r="O369" i="16"/>
  <c r="O377" i="16"/>
  <c r="O385" i="16"/>
  <c r="O393" i="16"/>
  <c r="O401" i="16"/>
  <c r="O409" i="16"/>
  <c r="O417" i="16"/>
  <c r="O425" i="16"/>
  <c r="O433" i="16"/>
  <c r="O441" i="16"/>
  <c r="O449" i="16"/>
  <c r="O457" i="16"/>
  <c r="O465" i="16"/>
  <c r="O473" i="16"/>
  <c r="O481" i="16"/>
  <c r="O489" i="16"/>
  <c r="O497" i="16"/>
  <c r="O505" i="16"/>
  <c r="O513" i="16"/>
  <c r="O521" i="16"/>
  <c r="O529" i="16"/>
  <c r="O537" i="16"/>
  <c r="O545" i="16"/>
  <c r="O553" i="16"/>
  <c r="O561" i="16"/>
  <c r="O569" i="16"/>
  <c r="O577" i="16"/>
  <c r="O585" i="16"/>
  <c r="O593" i="16"/>
  <c r="O601" i="16"/>
  <c r="O609" i="16"/>
  <c r="O617" i="16"/>
  <c r="O625" i="16"/>
  <c r="O633" i="16"/>
  <c r="O641" i="16"/>
  <c r="O649" i="16"/>
  <c r="O657" i="16"/>
  <c r="O665" i="16"/>
  <c r="O673" i="16"/>
  <c r="O681" i="16"/>
  <c r="O689" i="16"/>
  <c r="O697" i="16"/>
  <c r="N54" i="16"/>
  <c r="O68" i="16"/>
  <c r="O83" i="16"/>
  <c r="N110" i="16"/>
  <c r="N137" i="16"/>
  <c r="O162" i="16"/>
  <c r="N174" i="16"/>
  <c r="O187" i="16"/>
  <c r="N201" i="16"/>
  <c r="O212" i="16"/>
  <c r="O226" i="16"/>
  <c r="N238" i="16"/>
  <c r="N251" i="16"/>
  <c r="N261" i="16"/>
  <c r="N272" i="16"/>
  <c r="N283" i="16"/>
  <c r="N293" i="16"/>
  <c r="O302" i="16"/>
  <c r="N313" i="16"/>
  <c r="N323" i="16"/>
  <c r="O332" i="16"/>
  <c r="N342" i="16"/>
  <c r="N352" i="16"/>
  <c r="O362" i="16"/>
  <c r="N372" i="16"/>
  <c r="O381" i="16"/>
  <c r="O391" i="16"/>
  <c r="N402" i="16"/>
  <c r="O411" i="16"/>
  <c r="N421" i="16"/>
  <c r="O430" i="16"/>
  <c r="N441" i="16"/>
  <c r="N451" i="16"/>
  <c r="O460" i="16"/>
  <c r="N470" i="16"/>
  <c r="N480" i="16"/>
  <c r="O490" i="16"/>
  <c r="N500" i="16"/>
  <c r="O509" i="16"/>
  <c r="O519" i="16"/>
  <c r="N530" i="16"/>
  <c r="O539" i="16"/>
  <c r="N549" i="16"/>
  <c r="O558" i="16"/>
  <c r="N569" i="16"/>
  <c r="N579" i="16"/>
  <c r="O588" i="16"/>
  <c r="N598" i="16"/>
  <c r="N608" i="16"/>
  <c r="N618" i="16"/>
  <c r="N627" i="16"/>
  <c r="N636" i="16"/>
  <c r="N645" i="16"/>
  <c r="N654" i="16"/>
  <c r="N663" i="16"/>
  <c r="N672" i="16"/>
  <c r="N682" i="16"/>
  <c r="N691" i="16"/>
  <c r="N700" i="16"/>
  <c r="N708" i="16"/>
  <c r="N716" i="16"/>
  <c r="N724" i="16"/>
  <c r="N732" i="16"/>
  <c r="N740" i="16"/>
  <c r="N748" i="16"/>
  <c r="N756" i="16"/>
  <c r="N764" i="16"/>
  <c r="N772" i="16"/>
  <c r="N780" i="16"/>
  <c r="N788" i="16"/>
  <c r="N796" i="16"/>
  <c r="N804" i="16"/>
  <c r="N812" i="16"/>
  <c r="N820" i="16"/>
  <c r="N828" i="16"/>
  <c r="N836" i="16"/>
  <c r="N844" i="16"/>
  <c r="N852" i="16"/>
  <c r="N860" i="16"/>
  <c r="N868" i="16"/>
  <c r="N876" i="16"/>
  <c r="J15" i="16"/>
  <c r="N57" i="16"/>
  <c r="N69" i="16"/>
  <c r="N84" i="16"/>
  <c r="N99" i="16"/>
  <c r="N112" i="16"/>
  <c r="N124" i="16"/>
  <c r="N138" i="16"/>
  <c r="N149" i="16"/>
  <c r="N163" i="16"/>
  <c r="N176" i="16"/>
  <c r="N188" i="16"/>
  <c r="N202" i="16"/>
  <c r="N213" i="16"/>
  <c r="N227" i="16"/>
  <c r="N240" i="16"/>
  <c r="O251" i="16"/>
  <c r="O261" i="16"/>
  <c r="N273" i="16"/>
  <c r="O283" i="16"/>
  <c r="O293" i="16"/>
  <c r="O303" i="16"/>
  <c r="N314" i="16"/>
  <c r="O323" i="16"/>
  <c r="N333" i="16"/>
  <c r="O342" i="16"/>
  <c r="N353" i="16"/>
  <c r="N363" i="16"/>
  <c r="O372" i="16"/>
  <c r="N382" i="16"/>
  <c r="N392" i="16"/>
  <c r="O402" i="16"/>
  <c r="N412" i="16"/>
  <c r="O421" i="16"/>
  <c r="O431" i="16"/>
  <c r="N442" i="16"/>
  <c r="O451" i="16"/>
  <c r="N461" i="16"/>
  <c r="O470" i="16"/>
  <c r="N481" i="16"/>
  <c r="N491" i="16"/>
  <c r="O500" i="16"/>
  <c r="N510" i="16"/>
  <c r="N520" i="16"/>
  <c r="O530" i="16"/>
  <c r="N540" i="16"/>
  <c r="O549" i="16"/>
  <c r="O559" i="16"/>
  <c r="N570" i="16"/>
  <c r="O579" i="16"/>
  <c r="N589" i="16"/>
  <c r="O598" i="16"/>
  <c r="N609" i="16"/>
  <c r="O618" i="16"/>
  <c r="O627" i="16"/>
  <c r="O636" i="16"/>
  <c r="O645" i="16"/>
  <c r="O654" i="16"/>
  <c r="O663" i="16"/>
  <c r="N673" i="16"/>
  <c r="O682" i="16"/>
  <c r="O691" i="16"/>
  <c r="O700" i="16"/>
  <c r="O708" i="16"/>
  <c r="O716" i="16"/>
  <c r="O724" i="16"/>
  <c r="O732" i="16"/>
  <c r="O740" i="16"/>
  <c r="O748" i="16"/>
  <c r="O756" i="16"/>
  <c r="O764" i="16"/>
  <c r="O772" i="16"/>
  <c r="O780" i="16"/>
  <c r="O788" i="16"/>
  <c r="O796" i="16"/>
  <c r="O804" i="16"/>
  <c r="O812" i="16"/>
  <c r="O820" i="16"/>
  <c r="O828" i="16"/>
  <c r="O836" i="16"/>
  <c r="O844" i="16"/>
  <c r="O852" i="16"/>
  <c r="O860" i="16"/>
  <c r="O868" i="16"/>
  <c r="O58" i="16"/>
  <c r="N73" i="16"/>
  <c r="N85" i="16"/>
  <c r="N100" i="16"/>
  <c r="N114" i="16"/>
  <c r="N125" i="16"/>
  <c r="N139" i="16"/>
  <c r="N152" i="16"/>
  <c r="N164" i="16"/>
  <c r="N178" i="16"/>
  <c r="N189" i="16"/>
  <c r="N203" i="16"/>
  <c r="N216" i="16"/>
  <c r="N228" i="16"/>
  <c r="N242" i="16"/>
  <c r="O252" i="16"/>
  <c r="O262" i="16"/>
  <c r="O274" i="16"/>
  <c r="O284" i="16"/>
  <c r="O294" i="16"/>
  <c r="N305" i="16"/>
  <c r="N315" i="16"/>
  <c r="O324" i="16"/>
  <c r="N334" i="16"/>
  <c r="N344" i="16"/>
  <c r="O354" i="16"/>
  <c r="N364" i="16"/>
  <c r="O373" i="16"/>
  <c r="O383" i="16"/>
  <c r="N394" i="16"/>
  <c r="O403" i="16"/>
  <c r="N413" i="16"/>
  <c r="O422" i="16"/>
  <c r="N433" i="16"/>
  <c r="N443" i="16"/>
  <c r="O452" i="16"/>
  <c r="N462" i="16"/>
  <c r="N472" i="16"/>
  <c r="O482" i="16"/>
  <c r="F15" i="16"/>
  <c r="N60" i="16"/>
  <c r="O76" i="16"/>
  <c r="N93" i="16"/>
  <c r="N109" i="16"/>
  <c r="N128" i="16"/>
  <c r="N142" i="16"/>
  <c r="N157" i="16"/>
  <c r="O172" i="16"/>
  <c r="N190" i="16"/>
  <c r="N205" i="16"/>
  <c r="O220" i="16"/>
  <c r="N236" i="16"/>
  <c r="N252" i="16"/>
  <c r="N266" i="16"/>
  <c r="O277" i="16"/>
  <c r="N291" i="16"/>
  <c r="N302" i="16"/>
  <c r="N316" i="16"/>
  <c r="O327" i="16"/>
  <c r="O339" i="16"/>
  <c r="O350" i="16"/>
  <c r="O364" i="16"/>
  <c r="N376" i="16"/>
  <c r="N388" i="16"/>
  <c r="O399" i="16"/>
  <c r="O412" i="16"/>
  <c r="N425" i="16"/>
  <c r="O436" i="16"/>
  <c r="N448" i="16"/>
  <c r="N460" i="16"/>
  <c r="N474" i="16"/>
  <c r="N485" i="16"/>
  <c r="N496" i="16"/>
  <c r="O507" i="16"/>
  <c r="N518" i="16"/>
  <c r="N531" i="16"/>
  <c r="O541" i="16"/>
  <c r="N553" i="16"/>
  <c r="N564" i="16"/>
  <c r="O574" i="16"/>
  <c r="O586" i="16"/>
  <c r="N597" i="16"/>
  <c r="N610" i="16"/>
  <c r="N620" i="16"/>
  <c r="N630" i="16"/>
  <c r="N640" i="16"/>
  <c r="N651" i="16"/>
  <c r="N661" i="16"/>
  <c r="N671" i="16"/>
  <c r="N683" i="16"/>
  <c r="N693" i="16"/>
  <c r="N703" i="16"/>
  <c r="N712" i="16"/>
  <c r="N721" i="16"/>
  <c r="N730" i="16"/>
  <c r="N739" i="16"/>
  <c r="N749" i="16"/>
  <c r="N758" i="16"/>
  <c r="N767" i="16"/>
  <c r="N776" i="16"/>
  <c r="N785" i="16"/>
  <c r="N794" i="16"/>
  <c r="N803" i="16"/>
  <c r="N813" i="16"/>
  <c r="N822" i="16"/>
  <c r="N831" i="16"/>
  <c r="N840" i="16"/>
  <c r="N849" i="16"/>
  <c r="N858" i="16"/>
  <c r="N867" i="16"/>
  <c r="O876" i="16"/>
  <c r="O884" i="16"/>
  <c r="O892" i="16"/>
  <c r="O900" i="16"/>
  <c r="O908" i="16"/>
  <c r="O916" i="16"/>
  <c r="O924" i="16"/>
  <c r="O932" i="16"/>
  <c r="O940" i="16"/>
  <c r="O948" i="16"/>
  <c r="O956" i="16"/>
  <c r="O964" i="16"/>
  <c r="O972" i="16"/>
  <c r="O980" i="16"/>
  <c r="O988" i="16"/>
  <c r="O996" i="16"/>
  <c r="O1004" i="16"/>
  <c r="O1012" i="16"/>
  <c r="O1020" i="16"/>
  <c r="O1028" i="16"/>
  <c r="O1036" i="16"/>
  <c r="O1044" i="16"/>
  <c r="J9" i="16"/>
  <c r="O60" i="16"/>
  <c r="N77" i="16"/>
  <c r="N94" i="16"/>
  <c r="N113" i="16"/>
  <c r="N129" i="16"/>
  <c r="N144" i="16"/>
  <c r="N158" i="16"/>
  <c r="N173" i="16"/>
  <c r="N192" i="16"/>
  <c r="N206" i="16"/>
  <c r="N221" i="16"/>
  <c r="O236" i="16"/>
  <c r="N253" i="16"/>
  <c r="O266" i="16"/>
  <c r="N278" i="16"/>
  <c r="O291" i="16"/>
  <c r="N304" i="16"/>
  <c r="O316" i="16"/>
  <c r="N328" i="16"/>
  <c r="N340" i="16"/>
  <c r="O351" i="16"/>
  <c r="N365" i="16"/>
  <c r="N377" i="16"/>
  <c r="O388" i="16"/>
  <c r="N400" i="16"/>
  <c r="O413" i="16"/>
  <c r="N426" i="16"/>
  <c r="N437" i="16"/>
  <c r="N449" i="16"/>
  <c r="O461" i="16"/>
  <c r="O474" i="16"/>
  <c r="O485" i="16"/>
  <c r="N497" i="16"/>
  <c r="N508" i="16"/>
  <c r="O518" i="16"/>
  <c r="O531" i="16"/>
  <c r="N542" i="16"/>
  <c r="N554" i="16"/>
  <c r="O564" i="16"/>
  <c r="O575" i="16"/>
  <c r="N587" i="16"/>
  <c r="O597" i="16"/>
  <c r="O610" i="16"/>
  <c r="O620" i="16"/>
  <c r="O630" i="16"/>
  <c r="N641" i="16"/>
  <c r="O651" i="16"/>
  <c r="O661" i="16"/>
  <c r="O671" i="16"/>
  <c r="O683" i="16"/>
  <c r="O693" i="16"/>
  <c r="O703" i="16"/>
  <c r="O712" i="16"/>
  <c r="O721" i="16"/>
  <c r="O730" i="16"/>
  <c r="O739" i="16"/>
  <c r="O749" i="16"/>
  <c r="O758" i="16"/>
  <c r="O767" i="16"/>
  <c r="O776" i="16"/>
  <c r="O785" i="16"/>
  <c r="O794" i="16"/>
  <c r="O803" i="16"/>
  <c r="O813" i="16"/>
  <c r="O822" i="16"/>
  <c r="O831" i="16"/>
  <c r="O840" i="16"/>
  <c r="O849" i="16"/>
  <c r="O858" i="16"/>
  <c r="O867" i="16"/>
  <c r="N877" i="16"/>
  <c r="N885" i="16"/>
  <c r="N893" i="16"/>
  <c r="N901" i="16"/>
  <c r="N909" i="16"/>
  <c r="N917" i="16"/>
  <c r="N925" i="16"/>
  <c r="N933" i="16"/>
  <c r="N941" i="16"/>
  <c r="N949" i="16"/>
  <c r="N957" i="16"/>
  <c r="N965" i="16"/>
  <c r="N973" i="16"/>
  <c r="N981" i="16"/>
  <c r="N45" i="16"/>
  <c r="N62" i="16"/>
  <c r="N81" i="16"/>
  <c r="N98" i="16"/>
  <c r="N115" i="16"/>
  <c r="O130" i="16"/>
  <c r="N146" i="16"/>
  <c r="N161" i="16"/>
  <c r="O178" i="16"/>
  <c r="N194" i="16"/>
  <c r="N209" i="16"/>
  <c r="N224" i="16"/>
  <c r="N241" i="16"/>
  <c r="N254" i="16"/>
  <c r="O267" i="16"/>
  <c r="N280" i="16"/>
  <c r="O292" i="16"/>
  <c r="O306" i="16"/>
  <c r="O317" i="16"/>
  <c r="N330" i="16"/>
  <c r="N341" i="16"/>
  <c r="N355" i="16"/>
  <c r="N366" i="16"/>
  <c r="O378" i="16"/>
  <c r="O389" i="16"/>
  <c r="N403" i="16"/>
  <c r="O414" i="16"/>
  <c r="N427" i="16"/>
  <c r="N438" i="16"/>
  <c r="O450" i="16"/>
  <c r="O463" i="16"/>
  <c r="O475" i="16"/>
  <c r="O486" i="16"/>
  <c r="O498" i="16"/>
  <c r="N509" i="16"/>
  <c r="N522" i="16"/>
  <c r="O532" i="16"/>
  <c r="O543" i="16"/>
  <c r="N555" i="16"/>
  <c r="O565" i="16"/>
  <c r="N577" i="16"/>
  <c r="N588" i="16"/>
  <c r="N600" i="16"/>
  <c r="O611" i="16"/>
  <c r="F9" i="16"/>
  <c r="O66" i="16"/>
  <c r="N89" i="16"/>
  <c r="N107" i="16"/>
  <c r="N126" i="16"/>
  <c r="N147" i="16"/>
  <c r="N166" i="16"/>
  <c r="N185" i="16"/>
  <c r="N204" i="16"/>
  <c r="N225" i="16"/>
  <c r="N244" i="16"/>
  <c r="O259" i="16"/>
  <c r="N276" i="16"/>
  <c r="N292" i="16"/>
  <c r="N308" i="16"/>
  <c r="N322" i="16"/>
  <c r="N337" i="16"/>
  <c r="N350" i="16"/>
  <c r="O367" i="16"/>
  <c r="N381" i="16"/>
  <c r="O396" i="16"/>
  <c r="O410" i="16"/>
  <c r="O427" i="16"/>
  <c r="O442" i="16"/>
  <c r="N456" i="16"/>
  <c r="O469" i="16"/>
  <c r="N486" i="16"/>
  <c r="N501" i="16"/>
  <c r="O514" i="16"/>
  <c r="O526" i="16"/>
  <c r="N541" i="16"/>
  <c r="N556" i="16"/>
  <c r="O570" i="16"/>
  <c r="O582" i="16"/>
  <c r="N596" i="16"/>
  <c r="N612" i="16"/>
  <c r="N623" i="16"/>
  <c r="N635" i="16"/>
  <c r="N647" i="16"/>
  <c r="N659" i="16"/>
  <c r="N670" i="16"/>
  <c r="N684" i="16"/>
  <c r="N695" i="16"/>
  <c r="N706" i="16"/>
  <c r="N717" i="16"/>
  <c r="N727" i="16"/>
  <c r="N737" i="16"/>
  <c r="N747" i="16"/>
  <c r="N759" i="16"/>
  <c r="N769" i="16"/>
  <c r="N779" i="16"/>
  <c r="N790" i="16"/>
  <c r="N800" i="16"/>
  <c r="N810" i="16"/>
  <c r="N821" i="16"/>
  <c r="N832" i="16"/>
  <c r="N842" i="16"/>
  <c r="N853" i="16"/>
  <c r="N863" i="16"/>
  <c r="N873" i="16"/>
  <c r="O882" i="16"/>
  <c r="O891" i="16"/>
  <c r="O901" i="16"/>
  <c r="O910" i="16"/>
  <c r="O919" i="16"/>
  <c r="O928" i="16"/>
  <c r="O937" i="16"/>
  <c r="O946" i="16"/>
  <c r="O955" i="16"/>
  <c r="O965" i="16"/>
  <c r="O974" i="16"/>
  <c r="O983" i="16"/>
  <c r="N992" i="16"/>
  <c r="O1000" i="16"/>
  <c r="N1009" i="16"/>
  <c r="O1017" i="16"/>
  <c r="N1026" i="16"/>
  <c r="O1034" i="16"/>
  <c r="N1043" i="16"/>
  <c r="N46" i="16"/>
  <c r="N67" i="16"/>
  <c r="N90" i="16"/>
  <c r="O107" i="16"/>
  <c r="N130" i="16"/>
  <c r="O147" i="16"/>
  <c r="N168" i="16"/>
  <c r="N186" i="16"/>
  <c r="O204" i="16"/>
  <c r="N226" i="16"/>
  <c r="O244" i="16"/>
  <c r="N260" i="16"/>
  <c r="O276" i="16"/>
  <c r="N294" i="16"/>
  <c r="O308" i="16"/>
  <c r="O322" i="16"/>
  <c r="N338" i="16"/>
  <c r="N354" i="16"/>
  <c r="N368" i="16"/>
  <c r="O382" i="16"/>
  <c r="N397" i="16"/>
  <c r="N411" i="16"/>
  <c r="N428" i="16"/>
  <c r="O443" i="16"/>
  <c r="N457" i="16"/>
  <c r="O471" i="16"/>
  <c r="O487" i="16"/>
  <c r="O501" i="16"/>
  <c r="N515" i="16"/>
  <c r="O527" i="16"/>
  <c r="O542" i="16"/>
  <c r="O556" i="16"/>
  <c r="N571" i="16"/>
  <c r="O583" i="16"/>
  <c r="O596" i="16"/>
  <c r="O612" i="16"/>
  <c r="O623" i="16"/>
  <c r="O635" i="16"/>
  <c r="O647" i="16"/>
  <c r="O659" i="16"/>
  <c r="O670" i="16"/>
  <c r="O684" i="16"/>
  <c r="O695" i="16"/>
  <c r="O706" i="16"/>
  <c r="O717" i="16"/>
  <c r="O727" i="16"/>
  <c r="O737" i="16"/>
  <c r="O747" i="16"/>
  <c r="O759" i="16"/>
  <c r="O769" i="16"/>
  <c r="O779" i="16"/>
  <c r="O790" i="16"/>
  <c r="O800" i="16"/>
  <c r="O810" i="16"/>
  <c r="O821" i="16"/>
  <c r="O832" i="16"/>
  <c r="O842" i="16"/>
  <c r="O853" i="16"/>
  <c r="O863" i="16"/>
  <c r="O873" i="16"/>
  <c r="N883" i="16"/>
  <c r="N892" i="16"/>
  <c r="N902" i="16"/>
  <c r="N911" i="16"/>
  <c r="N920" i="16"/>
  <c r="N929" i="16"/>
  <c r="N938" i="16"/>
  <c r="N947" i="16"/>
  <c r="N956" i="16"/>
  <c r="N966" i="16"/>
  <c r="N975" i="16"/>
  <c r="N984" i="16"/>
  <c r="O992" i="16"/>
  <c r="N1001" i="16"/>
  <c r="O1009" i="16"/>
  <c r="N1018" i="16"/>
  <c r="O1026" i="16"/>
  <c r="N1035" i="16"/>
  <c r="O1043" i="16"/>
  <c r="N49" i="16"/>
  <c r="O67" i="16"/>
  <c r="O90" i="16"/>
  <c r="N108" i="16"/>
  <c r="N131" i="16"/>
  <c r="N148" i="16"/>
  <c r="N169" i="16"/>
  <c r="O186" i="16"/>
  <c r="N208" i="16"/>
  <c r="O227" i="16"/>
  <c r="N245" i="16"/>
  <c r="O260" i="16"/>
  <c r="N277" i="16"/>
  <c r="O295" i="16"/>
  <c r="N309" i="16"/>
  <c r="N324" i="16"/>
  <c r="O338" i="16"/>
  <c r="O355" i="16"/>
  <c r="N369" i="16"/>
  <c r="N384" i="16"/>
  <c r="O397" i="16"/>
  <c r="N414" i="16"/>
  <c r="O428" i="16"/>
  <c r="N444" i="16"/>
  <c r="N458" i="16"/>
  <c r="N473" i="16"/>
  <c r="N488" i="16"/>
  <c r="N502" i="16"/>
  <c r="O515" i="16"/>
  <c r="N528" i="16"/>
  <c r="N544" i="16"/>
  <c r="N557" i="16"/>
  <c r="O571" i="16"/>
  <c r="N584" i="16"/>
  <c r="O599" i="16"/>
  <c r="N613" i="16"/>
  <c r="N624" i="16"/>
  <c r="N637" i="16"/>
  <c r="N648" i="16"/>
  <c r="N660" i="16"/>
  <c r="N674" i="16"/>
  <c r="N685" i="16"/>
  <c r="N696" i="16"/>
  <c r="N707" i="16"/>
  <c r="N718" i="16"/>
  <c r="N728" i="16"/>
  <c r="N738" i="16"/>
  <c r="N750" i="16"/>
  <c r="N760" i="16"/>
  <c r="N770" i="16"/>
  <c r="N781" i="16"/>
  <c r="N791" i="16"/>
  <c r="N801" i="16"/>
  <c r="N811" i="16"/>
  <c r="N823" i="16"/>
  <c r="N833" i="16"/>
  <c r="N843" i="16"/>
  <c r="N854" i="16"/>
  <c r="N864" i="16"/>
  <c r="N874" i="16"/>
  <c r="O883" i="16"/>
  <c r="O893" i="16"/>
  <c r="O902" i="16"/>
  <c r="O911" i="16"/>
  <c r="O920" i="16"/>
  <c r="O929" i="16"/>
  <c r="O938" i="16"/>
  <c r="O947" i="16"/>
  <c r="O957" i="16"/>
  <c r="O966" i="16"/>
  <c r="O975" i="16"/>
  <c r="O984" i="16"/>
  <c r="N993" i="16"/>
  <c r="O1001" i="16"/>
  <c r="N1010" i="16"/>
  <c r="O1018" i="16"/>
  <c r="N1027" i="16"/>
  <c r="O1035" i="16"/>
  <c r="N1044" i="16"/>
  <c r="N50" i="16"/>
  <c r="N68" i="16"/>
  <c r="N91" i="16"/>
  <c r="O108" i="16"/>
  <c r="O131" i="16"/>
  <c r="N150" i="16"/>
  <c r="N170" i="16"/>
  <c r="N187" i="16"/>
  <c r="N210" i="16"/>
  <c r="O228" i="16"/>
  <c r="N246" i="16"/>
  <c r="N262" i="16"/>
  <c r="O278" i="16"/>
  <c r="N296" i="16"/>
  <c r="O309" i="16"/>
  <c r="N325" i="16"/>
  <c r="N339" i="16"/>
  <c r="N356" i="16"/>
  <c r="N370" i="16"/>
  <c r="N385" i="16"/>
  <c r="N398" i="16"/>
  <c r="O415" i="16"/>
  <c r="N429" i="16"/>
  <c r="O444" i="16"/>
  <c r="O458" i="16"/>
  <c r="N475" i="16"/>
  <c r="N489" i="16"/>
  <c r="O502" i="16"/>
  <c r="N516" i="16"/>
  <c r="N529" i="16"/>
  <c r="N545" i="16"/>
  <c r="O557" i="16"/>
  <c r="N572" i="16"/>
  <c r="N585" i="16"/>
  <c r="N601" i="16"/>
  <c r="O613" i="16"/>
  <c r="N625" i="16"/>
  <c r="O637" i="16"/>
  <c r="N649" i="16"/>
  <c r="O660" i="16"/>
  <c r="O674" i="16"/>
  <c r="O685" i="16"/>
  <c r="N697" i="16"/>
  <c r="O707" i="16"/>
  <c r="O718" i="16"/>
  <c r="O728" i="16"/>
  <c r="O738" i="16"/>
  <c r="O750" i="16"/>
  <c r="O760" i="16"/>
  <c r="O770" i="16"/>
  <c r="O781" i="16"/>
  <c r="O791" i="16"/>
  <c r="O801" i="16"/>
  <c r="O811" i="16"/>
  <c r="O823" i="16"/>
  <c r="O833" i="16"/>
  <c r="O843" i="16"/>
  <c r="O854" i="16"/>
  <c r="O864" i="16"/>
  <c r="O874" i="16"/>
  <c r="N884" i="16"/>
  <c r="N894" i="16"/>
  <c r="N903" i="16"/>
  <c r="N912" i="16"/>
  <c r="N921" i="16"/>
  <c r="N930" i="16"/>
  <c r="N939" i="16"/>
  <c r="N948" i="16"/>
  <c r="N958" i="16"/>
  <c r="N967" i="16"/>
  <c r="N976" i="16"/>
  <c r="N985" i="16"/>
  <c r="O993" i="16"/>
  <c r="N1002" i="16"/>
  <c r="O1010" i="16"/>
  <c r="N1019" i="16"/>
  <c r="O1027" i="16"/>
  <c r="N1036" i="16"/>
  <c r="O50" i="16"/>
  <c r="N70" i="16"/>
  <c r="O91" i="16"/>
  <c r="O114" i="16"/>
  <c r="N132" i="16"/>
  <c r="N153" i="16"/>
  <c r="O170" i="16"/>
  <c r="O188" i="16"/>
  <c r="O210" i="16"/>
  <c r="N229" i="16"/>
  <c r="O246" i="16"/>
  <c r="N264" i="16"/>
  <c r="N281" i="16"/>
  <c r="N297" i="16"/>
  <c r="N310" i="16"/>
  <c r="O325" i="16"/>
  <c r="O340" i="16"/>
  <c r="O356" i="16"/>
  <c r="O370" i="16"/>
  <c r="N386" i="16"/>
  <c r="O398" i="16"/>
  <c r="N416" i="16"/>
  <c r="O429" i="16"/>
  <c r="N445" i="16"/>
  <c r="N459" i="16"/>
  <c r="N476" i="16"/>
  <c r="N490" i="16"/>
  <c r="O503" i="16"/>
  <c r="O516" i="16"/>
  <c r="N532" i="16"/>
  <c r="N546" i="16"/>
  <c r="N558" i="16"/>
  <c r="O572" i="16"/>
  <c r="N586" i="16"/>
  <c r="N602" i="16"/>
  <c r="N614" i="16"/>
  <c r="N626" i="16"/>
  <c r="N638" i="16"/>
  <c r="N650" i="16"/>
  <c r="N662" i="16"/>
  <c r="N675" i="16"/>
  <c r="N686" i="16"/>
  <c r="N698" i="16"/>
  <c r="N709" i="16"/>
  <c r="N719" i="16"/>
  <c r="N729" i="16"/>
  <c r="N741" i="16"/>
  <c r="N751" i="16"/>
  <c r="N761" i="16"/>
  <c r="N771" i="16"/>
  <c r="N782" i="16"/>
  <c r="N792" i="16"/>
  <c r="N802" i="16"/>
  <c r="N814" i="16"/>
  <c r="N824" i="16"/>
  <c r="N834" i="16"/>
  <c r="N845" i="16"/>
  <c r="N52" i="16"/>
  <c r="O82" i="16"/>
  <c r="N116" i="16"/>
  <c r="N140" i="16"/>
  <c r="N171" i="16"/>
  <c r="O196" i="16"/>
  <c r="N222" i="16"/>
  <c r="O253" i="16"/>
  <c r="N275" i="16"/>
  <c r="O299" i="16"/>
  <c r="O319" i="16"/>
  <c r="N345" i="16"/>
  <c r="N362" i="16"/>
  <c r="N387" i="16"/>
  <c r="O406" i="16"/>
  <c r="N430" i="16"/>
  <c r="N452" i="16"/>
  <c r="N469" i="16"/>
  <c r="O493" i="16"/>
  <c r="N513" i="16"/>
  <c r="O534" i="16"/>
  <c r="N552" i="16"/>
  <c r="N574" i="16"/>
  <c r="N594" i="16"/>
  <c r="N615" i="16"/>
  <c r="O631" i="16"/>
  <c r="O650" i="16"/>
  <c r="N667" i="16"/>
  <c r="N681" i="16"/>
  <c r="O701" i="16"/>
  <c r="N715" i="16"/>
  <c r="N733" i="16"/>
  <c r="O745" i="16"/>
  <c r="O762" i="16"/>
  <c r="N777" i="16"/>
  <c r="N793" i="16"/>
  <c r="O807" i="16"/>
  <c r="O824" i="16"/>
  <c r="N838" i="16"/>
  <c r="O851" i="16"/>
  <c r="O866" i="16"/>
  <c r="N880" i="16"/>
  <c r="N891" i="16"/>
  <c r="N905" i="16"/>
  <c r="N916" i="16"/>
  <c r="N928" i="16"/>
  <c r="N942" i="16"/>
  <c r="N953" i="16"/>
  <c r="N964" i="16"/>
  <c r="N978" i="16"/>
  <c r="O989" i="16"/>
  <c r="N1000" i="16"/>
  <c r="N1013" i="16"/>
  <c r="O1023" i="16"/>
  <c r="N1034" i="16"/>
  <c r="O52" i="16"/>
  <c r="N83" i="16"/>
  <c r="O116" i="16"/>
  <c r="O140" i="16"/>
  <c r="O171" i="16"/>
  <c r="N197" i="16"/>
  <c r="N230" i="16"/>
  <c r="O254" i="16"/>
  <c r="O275" i="16"/>
  <c r="N300" i="16"/>
  <c r="N320" i="16"/>
  <c r="N346" i="16"/>
  <c r="O363" i="16"/>
  <c r="O387" i="16"/>
  <c r="O407" i="16"/>
  <c r="N432" i="16"/>
  <c r="N453" i="16"/>
  <c r="O476" i="16"/>
  <c r="N494" i="16"/>
  <c r="N514" i="16"/>
  <c r="O535" i="16"/>
  <c r="O554" i="16"/>
  <c r="N576" i="16"/>
  <c r="O594" i="16"/>
  <c r="O615" i="16"/>
  <c r="N632" i="16"/>
  <c r="N652" i="16"/>
  <c r="O667" i="16"/>
  <c r="O686" i="16"/>
  <c r="N702" i="16"/>
  <c r="O715" i="16"/>
  <c r="O733" i="16"/>
  <c r="N746" i="16"/>
  <c r="N763" i="16"/>
  <c r="O777" i="16"/>
  <c r="O793" i="16"/>
  <c r="N808" i="16"/>
  <c r="N825" i="16"/>
  <c r="O838" i="16"/>
  <c r="N855" i="16"/>
  <c r="N869" i="16"/>
  <c r="O880" i="16"/>
  <c r="O894" i="16"/>
  <c r="O905" i="16"/>
  <c r="O917" i="16"/>
  <c r="O930" i="16"/>
  <c r="O942" i="16"/>
  <c r="O953" i="16"/>
  <c r="O967" i="16"/>
  <c r="O978" i="16"/>
  <c r="N990" i="16"/>
  <c r="O1002" i="16"/>
  <c r="O1013" i="16"/>
  <c r="N1024" i="16"/>
  <c r="N1037" i="16"/>
  <c r="N53" i="16"/>
  <c r="O84" i="16"/>
  <c r="N117" i="16"/>
  <c r="N141" i="16"/>
  <c r="N172" i="16"/>
  <c r="N198" i="16"/>
  <c r="N232" i="16"/>
  <c r="N256" i="16"/>
  <c r="N282" i="16"/>
  <c r="O300" i="16"/>
  <c r="N321" i="16"/>
  <c r="O346" i="16"/>
  <c r="O365" i="16"/>
  <c r="N389" i="16"/>
  <c r="N408" i="16"/>
  <c r="N434" i="16"/>
  <c r="O453" i="16"/>
  <c r="N477" i="16"/>
  <c r="O494" i="16"/>
  <c r="N517" i="16"/>
  <c r="N536" i="16"/>
  <c r="O555" i="16"/>
  <c r="N578" i="16"/>
  <c r="N595" i="16"/>
  <c r="N616" i="16"/>
  <c r="N633" i="16"/>
  <c r="O652" i="16"/>
  <c r="N668" i="16"/>
  <c r="N687" i="16"/>
  <c r="O702" i="16"/>
  <c r="O719" i="16"/>
  <c r="N734" i="16"/>
  <c r="O746" i="16"/>
  <c r="O763" i="16"/>
  <c r="N778" i="16"/>
  <c r="N795" i="16"/>
  <c r="O808" i="16"/>
  <c r="O825" i="16"/>
  <c r="N839" i="16"/>
  <c r="O855" i="16"/>
  <c r="O869" i="16"/>
  <c r="N881" i="16"/>
  <c r="N895" i="16"/>
  <c r="N906" i="16"/>
  <c r="N918" i="16"/>
  <c r="N931" i="16"/>
  <c r="N943" i="16"/>
  <c r="N954" i="16"/>
  <c r="N968" i="16"/>
  <c r="N979" i="16"/>
  <c r="O990" i="16"/>
  <c r="N1003" i="16"/>
  <c r="N1014" i="16"/>
  <c r="O1024" i="16"/>
  <c r="O1037" i="16"/>
  <c r="N58" i="16"/>
  <c r="N86" i="16"/>
  <c r="N118" i="16"/>
  <c r="N145" i="16"/>
  <c r="N177" i="16"/>
  <c r="N200" i="16"/>
  <c r="N233" i="16"/>
  <c r="N257" i="16"/>
  <c r="O282" i="16"/>
  <c r="N301" i="16"/>
  <c r="N326" i="16"/>
  <c r="N347" i="16"/>
  <c r="O366" i="16"/>
  <c r="N390" i="16"/>
  <c r="N409" i="16"/>
  <c r="O434" i="16"/>
  <c r="N454" i="16"/>
  <c r="O477" i="16"/>
  <c r="O495" i="16"/>
  <c r="O517" i="16"/>
  <c r="N537" i="16"/>
  <c r="N560" i="16"/>
  <c r="O578" i="16"/>
  <c r="O595" i="16"/>
  <c r="N617" i="16"/>
  <c r="N634" i="16"/>
  <c r="N653" i="16"/>
  <c r="O668" i="16"/>
  <c r="O687" i="16"/>
  <c r="N704" i="16"/>
  <c r="N720" i="16"/>
  <c r="O734" i="16"/>
  <c r="O751" i="16"/>
  <c r="N765" i="16"/>
  <c r="O778" i="16"/>
  <c r="O795" i="16"/>
  <c r="N809" i="16"/>
  <c r="N826" i="16"/>
  <c r="O839" i="16"/>
  <c r="N856" i="16"/>
  <c r="N870" i="16"/>
  <c r="O881" i="16"/>
  <c r="O895" i="16"/>
  <c r="O906" i="16"/>
  <c r="O918" i="16"/>
  <c r="O931" i="16"/>
  <c r="O943" i="16"/>
  <c r="O954" i="16"/>
  <c r="O968" i="16"/>
  <c r="O979" i="16"/>
  <c r="N991" i="16"/>
  <c r="O1003" i="16"/>
  <c r="O1014" i="16"/>
  <c r="N1025" i="16"/>
  <c r="N1038" i="16"/>
  <c r="N59" i="16"/>
  <c r="N92" i="16"/>
  <c r="N120" i="16"/>
  <c r="N179" i="16"/>
  <c r="O202" i="16"/>
  <c r="N234" i="16"/>
  <c r="N258" i="16"/>
  <c r="N284" i="16"/>
  <c r="O301" i="16"/>
  <c r="O326" i="16"/>
  <c r="O347" i="16"/>
  <c r="N371" i="16"/>
  <c r="O390" i="16"/>
  <c r="N410" i="16"/>
  <c r="N435" i="16"/>
  <c r="O454" i="16"/>
  <c r="N478" i="16"/>
  <c r="N498" i="16"/>
  <c r="N521" i="16"/>
  <c r="N538" i="16"/>
  <c r="N561" i="16"/>
  <c r="N580" i="16"/>
  <c r="O602" i="16"/>
  <c r="N619" i="16"/>
  <c r="O634" i="16"/>
  <c r="O653" i="16"/>
  <c r="N669" i="16"/>
  <c r="N688" i="16"/>
  <c r="O704" i="16"/>
  <c r="O720" i="16"/>
  <c r="N735" i="16"/>
  <c r="N752" i="16"/>
  <c r="O765" i="16"/>
  <c r="O782" i="16"/>
  <c r="N797" i="16"/>
  <c r="O809" i="16"/>
  <c r="O826" i="16"/>
  <c r="N841" i="16"/>
  <c r="O856" i="16"/>
  <c r="O870" i="16"/>
  <c r="N882" i="16"/>
  <c r="N896" i="16"/>
  <c r="N907" i="16"/>
  <c r="N919" i="16"/>
  <c r="N932" i="16"/>
  <c r="N944" i="16"/>
  <c r="N955" i="16"/>
  <c r="N969" i="16"/>
  <c r="N980" i="16"/>
  <c r="O991" i="16"/>
  <c r="N1004" i="16"/>
  <c r="N1015" i="16"/>
  <c r="O1025" i="16"/>
  <c r="O1038" i="16"/>
  <c r="N74" i="16"/>
  <c r="N101" i="16"/>
  <c r="N156" i="16"/>
  <c r="N182" i="16"/>
  <c r="N214" i="16"/>
  <c r="O242" i="16"/>
  <c r="N268" i="16"/>
  <c r="N288" i="16"/>
  <c r="O311" i="16"/>
  <c r="N332" i="16"/>
  <c r="N357" i="16"/>
  <c r="O375" i="16"/>
  <c r="N396" i="16"/>
  <c r="O419" i="16"/>
  <c r="O439" i="16"/>
  <c r="N465" i="16"/>
  <c r="O483" i="16"/>
  <c r="N506" i="16"/>
  <c r="O524" i="16"/>
  <c r="N547" i="16"/>
  <c r="N565" i="16"/>
  <c r="O587" i="16"/>
  <c r="N605" i="16"/>
  <c r="O74" i="16"/>
  <c r="N121" i="16"/>
  <c r="N162" i="16"/>
  <c r="O211" i="16"/>
  <c r="N250" i="16"/>
  <c r="N289" i="16"/>
  <c r="N329" i="16"/>
  <c r="O358" i="16"/>
  <c r="N395" i="16"/>
  <c r="N424" i="16"/>
  <c r="N466" i="16"/>
  <c r="N499" i="16"/>
  <c r="N526" i="16"/>
  <c r="N563" i="16"/>
  <c r="N592" i="16"/>
  <c r="O622" i="16"/>
  <c r="N646" i="16"/>
  <c r="O676" i="16"/>
  <c r="N699" i="16"/>
  <c r="N723" i="16"/>
  <c r="O743" i="16"/>
  <c r="O766" i="16"/>
  <c r="N787" i="16"/>
  <c r="O814" i="16"/>
  <c r="O830" i="16"/>
  <c r="N851" i="16"/>
  <c r="N875" i="16"/>
  <c r="N890" i="16"/>
  <c r="N910" i="16"/>
  <c r="O926" i="16"/>
  <c r="O945" i="16"/>
  <c r="N962" i="16"/>
  <c r="N982" i="16"/>
  <c r="O997" i="16"/>
  <c r="O1015" i="16"/>
  <c r="N1031" i="16"/>
  <c r="N75" i="16"/>
  <c r="N122" i="16"/>
  <c r="N212" i="16"/>
  <c r="O250" i="16"/>
  <c r="N290" i="16"/>
  <c r="O330" i="16"/>
  <c r="O359" i="16"/>
  <c r="O395" i="16"/>
  <c r="O426" i="16"/>
  <c r="O466" i="16"/>
  <c r="O499" i="16"/>
  <c r="N533" i="16"/>
  <c r="O563" i="16"/>
  <c r="N593" i="16"/>
  <c r="O626" i="16"/>
  <c r="O646" i="16"/>
  <c r="N677" i="16"/>
  <c r="O699" i="16"/>
  <c r="O723" i="16"/>
  <c r="N744" i="16"/>
  <c r="N768" i="16"/>
  <c r="O787" i="16"/>
  <c r="N815" i="16"/>
  <c r="O834" i="16"/>
  <c r="N857" i="16"/>
  <c r="O875" i="16"/>
  <c r="O890" i="16"/>
  <c r="O912" i="16"/>
  <c r="N927" i="16"/>
  <c r="N946" i="16"/>
  <c r="O962" i="16"/>
  <c r="O982" i="16"/>
  <c r="N998" i="16"/>
  <c r="N1016" i="16"/>
  <c r="O1031" i="16"/>
  <c r="O75" i="16"/>
  <c r="O122" i="16"/>
  <c r="O164" i="16"/>
  <c r="N217" i="16"/>
  <c r="O258" i="16"/>
  <c r="O290" i="16"/>
  <c r="N331" i="16"/>
  <c r="N360" i="16"/>
  <c r="N401" i="16"/>
  <c r="O435" i="16"/>
  <c r="N467" i="16"/>
  <c r="N504" i="16"/>
  <c r="O533" i="16"/>
  <c r="N566" i="16"/>
  <c r="N603" i="16"/>
  <c r="N628" i="16"/>
  <c r="N655" i="16"/>
  <c r="O677" i="16"/>
  <c r="N701" i="16"/>
  <c r="N725" i="16"/>
  <c r="O744" i="16"/>
  <c r="O768" i="16"/>
  <c r="N789" i="16"/>
  <c r="O815" i="16"/>
  <c r="N835" i="16"/>
  <c r="O857" i="16"/>
  <c r="O877" i="16"/>
  <c r="O896" i="16"/>
  <c r="N913" i="16"/>
  <c r="O927" i="16"/>
  <c r="O949" i="16"/>
  <c r="N963" i="16"/>
  <c r="N983" i="16"/>
  <c r="O998" i="16"/>
  <c r="O1016" i="16"/>
  <c r="N1032" i="16"/>
  <c r="N76" i="16"/>
  <c r="N123" i="16"/>
  <c r="N165" i="16"/>
  <c r="N218" i="16"/>
  <c r="N259" i="16"/>
  <c r="N298" i="16"/>
  <c r="O331" i="16"/>
  <c r="N361" i="16"/>
  <c r="N404" i="16"/>
  <c r="N436" i="16"/>
  <c r="O467" i="16"/>
  <c r="N505" i="16"/>
  <c r="N534" i="16"/>
  <c r="O566" i="16"/>
  <c r="O603" i="16"/>
  <c r="O628" i="16"/>
  <c r="O655" i="16"/>
  <c r="N678" i="16"/>
  <c r="N705" i="16"/>
  <c r="O725" i="16"/>
  <c r="N745" i="16"/>
  <c r="O771" i="16"/>
  <c r="O789" i="16"/>
  <c r="N816" i="16"/>
  <c r="O835" i="16"/>
  <c r="N859" i="16"/>
  <c r="N878" i="16"/>
  <c r="N897" i="16"/>
  <c r="O913" i="16"/>
  <c r="O933" i="16"/>
  <c r="N950" i="16"/>
  <c r="O963" i="16"/>
  <c r="O985" i="16"/>
  <c r="N999" i="16"/>
  <c r="N1017" i="16"/>
  <c r="O1032" i="16"/>
  <c r="N78" i="16"/>
  <c r="O132" i="16"/>
  <c r="O179" i="16"/>
  <c r="O218" i="16"/>
  <c r="N265" i="16"/>
  <c r="O298" i="16"/>
  <c r="O333" i="16"/>
  <c r="O371" i="16"/>
  <c r="O404" i="16"/>
  <c r="O437" i="16"/>
  <c r="N468" i="16"/>
  <c r="O506" i="16"/>
  <c r="O538" i="16"/>
  <c r="O567" i="16"/>
  <c r="N604" i="16"/>
  <c r="N629" i="16"/>
  <c r="N656" i="16"/>
  <c r="O678" i="16"/>
  <c r="O705" i="16"/>
  <c r="N726" i="16"/>
  <c r="O752" i="16"/>
  <c r="N773" i="16"/>
  <c r="O792" i="16"/>
  <c r="O816" i="16"/>
  <c r="N837" i="16"/>
  <c r="O859" i="16"/>
  <c r="O878" i="16"/>
  <c r="O897" i="16"/>
  <c r="N914" i="16"/>
  <c r="N934" i="16"/>
  <c r="O950" i="16"/>
  <c r="O969" i="16"/>
  <c r="N986" i="16"/>
  <c r="O999" i="16"/>
  <c r="O1019" i="16"/>
  <c r="N1033" i="16"/>
  <c r="N82" i="16"/>
  <c r="N133" i="16"/>
  <c r="N180" i="16"/>
  <c r="N219" i="16"/>
  <c r="N267" i="16"/>
  <c r="N299" i="16"/>
  <c r="O334" i="16"/>
  <c r="N373" i="16"/>
  <c r="N405" i="16"/>
  <c r="O438" i="16"/>
  <c r="O468" i="16"/>
  <c r="N507" i="16"/>
  <c r="N539" i="16"/>
  <c r="N568" i="16"/>
  <c r="O604" i="16"/>
  <c r="O629" i="16"/>
  <c r="N657" i="16"/>
  <c r="N679" i="16"/>
  <c r="O709" i="16"/>
  <c r="O726" i="16"/>
  <c r="N753" i="16"/>
  <c r="O773" i="16"/>
  <c r="O797" i="16"/>
  <c r="N817" i="16"/>
  <c r="O837" i="16"/>
  <c r="N861" i="16"/>
  <c r="N879" i="16"/>
  <c r="N898" i="16"/>
  <c r="O914" i="16"/>
  <c r="O934" i="16"/>
  <c r="N951" i="16"/>
  <c r="N970" i="16"/>
  <c r="O986" i="16"/>
  <c r="N1005" i="16"/>
  <c r="N1020" i="16"/>
  <c r="O1033" i="16"/>
  <c r="O92" i="16"/>
  <c r="N134" i="16"/>
  <c r="O180" i="16"/>
  <c r="O219" i="16"/>
  <c r="O268" i="16"/>
  <c r="N306" i="16"/>
  <c r="O335" i="16"/>
  <c r="N374" i="16"/>
  <c r="O405" i="16"/>
  <c r="N440" i="16"/>
  <c r="O478" i="16"/>
  <c r="O508" i="16"/>
  <c r="O540" i="16"/>
  <c r="N573" i="16"/>
  <c r="O605" i="16"/>
  <c r="N631" i="16"/>
  <c r="N658" i="16"/>
  <c r="O679" i="16"/>
  <c r="N710" i="16"/>
  <c r="O729" i="16"/>
  <c r="O753" i="16"/>
  <c r="N774" i="16"/>
  <c r="N798" i="16"/>
  <c r="O817" i="16"/>
  <c r="O841" i="16"/>
  <c r="O861" i="16"/>
  <c r="O879" i="16"/>
  <c r="O898" i="16"/>
  <c r="N915" i="16"/>
  <c r="N935" i="16"/>
  <c r="O951" i="16"/>
  <c r="O970" i="16"/>
  <c r="N987" i="16"/>
  <c r="O1005" i="16"/>
  <c r="N1021" i="16"/>
  <c r="N1039" i="16"/>
  <c r="N97" i="16"/>
  <c r="N136" i="16"/>
  <c r="N181" i="16"/>
  <c r="N220" i="16"/>
  <c r="N269" i="16"/>
  <c r="N307" i="16"/>
  <c r="N336" i="16"/>
  <c r="O374" i="16"/>
  <c r="N406" i="16"/>
  <c r="O445" i="16"/>
  <c r="O479" i="16"/>
  <c r="O510" i="16"/>
  <c r="O546" i="16"/>
  <c r="O573" i="16"/>
  <c r="N606" i="16"/>
  <c r="O638" i="16"/>
  <c r="O658" i="16"/>
  <c r="N680" i="16"/>
  <c r="O710" i="16"/>
  <c r="N731" i="16"/>
  <c r="N754" i="16"/>
  <c r="O774" i="16"/>
  <c r="O798" i="16"/>
  <c r="N818" i="16"/>
  <c r="O845" i="16"/>
  <c r="N862" i="16"/>
  <c r="O885" i="16"/>
  <c r="N899" i="16"/>
  <c r="O915" i="16"/>
  <c r="O935" i="16"/>
  <c r="N952" i="16"/>
  <c r="N971" i="16"/>
  <c r="O987" i="16"/>
  <c r="N1006" i="16"/>
  <c r="O1021" i="16"/>
  <c r="O1039" i="16"/>
  <c r="O99" i="16"/>
  <c r="O138" i="16"/>
  <c r="N184" i="16"/>
  <c r="O234" i="16"/>
  <c r="O269" i="16"/>
  <c r="O307" i="16"/>
  <c r="O341" i="16"/>
  <c r="N378" i="16"/>
  <c r="N417" i="16"/>
  <c r="N446" i="16"/>
  <c r="N482" i="16"/>
  <c r="O511" i="16"/>
  <c r="O547" i="16"/>
  <c r="O580" i="16"/>
  <c r="O606" i="16"/>
  <c r="N639" i="16"/>
  <c r="O662" i="16"/>
  <c r="N689" i="16"/>
  <c r="N711" i="16"/>
  <c r="O731" i="16"/>
  <c r="O754" i="16"/>
  <c r="N775" i="16"/>
  <c r="N799" i="16"/>
  <c r="O818" i="16"/>
  <c r="N846" i="16"/>
  <c r="O862" i="16"/>
  <c r="N886" i="16"/>
  <c r="O899" i="16"/>
  <c r="O921" i="16"/>
  <c r="N936" i="16"/>
  <c r="O952" i="16"/>
  <c r="O971" i="16"/>
  <c r="N988" i="16"/>
  <c r="O1006" i="16"/>
  <c r="N1022" i="16"/>
  <c r="N1040" i="16"/>
  <c r="O100" i="16"/>
  <c r="N193" i="16"/>
  <c r="N235" i="16"/>
  <c r="N270" i="16"/>
  <c r="O310" i="16"/>
  <c r="O343" i="16"/>
  <c r="N379" i="16"/>
  <c r="N418" i="16"/>
  <c r="O446" i="16"/>
  <c r="N483" i="16"/>
  <c r="N512" i="16"/>
  <c r="N548" i="16"/>
  <c r="N581" i="16"/>
  <c r="O607" i="16"/>
  <c r="O639" i="16"/>
  <c r="N664" i="16"/>
  <c r="N690" i="16"/>
  <c r="O711" i="16"/>
  <c r="O735" i="16"/>
  <c r="N755" i="16"/>
  <c r="O775" i="16"/>
  <c r="O799" i="16"/>
  <c r="N819" i="16"/>
  <c r="O846" i="16"/>
  <c r="N865" i="16"/>
  <c r="O886" i="16"/>
  <c r="N900" i="16"/>
  <c r="N922" i="16"/>
  <c r="O936" i="16"/>
  <c r="O958" i="16"/>
  <c r="N972" i="16"/>
  <c r="N989" i="16"/>
  <c r="N1007" i="16"/>
  <c r="O1022" i="16"/>
  <c r="O1040" i="16"/>
  <c r="N51" i="16"/>
  <c r="N102" i="16"/>
  <c r="N154" i="16"/>
  <c r="O194" i="16"/>
  <c r="O235" i="16"/>
  <c r="O270" i="16"/>
  <c r="N312" i="16"/>
  <c r="N348" i="16"/>
  <c r="O379" i="16"/>
  <c r="O418" i="16"/>
  <c r="O447" i="16"/>
  <c r="N484" i="16"/>
  <c r="O522" i="16"/>
  <c r="O548" i="16"/>
  <c r="O581" i="16"/>
  <c r="N611" i="16"/>
  <c r="N642" i="16"/>
  <c r="N665" i="16"/>
  <c r="O690" i="16"/>
  <c r="N713" i="16"/>
  <c r="N736" i="16"/>
  <c r="O755" i="16"/>
  <c r="N783" i="16"/>
  <c r="O802" i="16"/>
  <c r="O819" i="16"/>
  <c r="N847" i="16"/>
  <c r="O865" i="16"/>
  <c r="N887" i="16"/>
  <c r="O903" i="16"/>
  <c r="O922" i="16"/>
  <c r="N937" i="16"/>
  <c r="N959" i="16"/>
  <c r="O973" i="16"/>
  <c r="N994" i="16"/>
  <c r="O1007" i="16"/>
  <c r="N1023" i="16"/>
  <c r="N1041" i="16"/>
  <c r="O51" i="16"/>
  <c r="N104" i="16"/>
  <c r="O154" i="16"/>
  <c r="N195" i="16"/>
  <c r="N237" i="16"/>
  <c r="N274" i="16"/>
  <c r="O314" i="16"/>
  <c r="O348" i="16"/>
  <c r="N380" i="16"/>
  <c r="N419" i="16"/>
  <c r="N450" i="16"/>
  <c r="O484" i="16"/>
  <c r="N523" i="16"/>
  <c r="N550" i="16"/>
  <c r="N582" i="16"/>
  <c r="O614" i="16"/>
  <c r="O642" i="16"/>
  <c r="N666" i="16"/>
  <c r="N692" i="16"/>
  <c r="O713" i="16"/>
  <c r="O736" i="16"/>
  <c r="N757" i="16"/>
  <c r="O783" i="16"/>
  <c r="N805" i="16"/>
  <c r="N827" i="16"/>
  <c r="O847" i="16"/>
  <c r="N866" i="16"/>
  <c r="O887" i="16"/>
  <c r="N904" i="16"/>
  <c r="N923" i="16"/>
  <c r="O939" i="16"/>
  <c r="O959" i="16"/>
  <c r="N974" i="16"/>
  <c r="O994" i="16"/>
  <c r="N1008" i="16"/>
  <c r="N1028" i="16"/>
  <c r="O1041" i="16"/>
  <c r="O59" i="16"/>
  <c r="N105" i="16"/>
  <c r="N155" i="16"/>
  <c r="O195" i="16"/>
  <c r="N243" i="16"/>
  <c r="N285" i="16"/>
  <c r="O315" i="16"/>
  <c r="N349" i="16"/>
  <c r="O380" i="16"/>
  <c r="N420" i="16"/>
  <c r="O455" i="16"/>
  <c r="O491" i="16"/>
  <c r="O523" i="16"/>
  <c r="O550" i="16"/>
  <c r="O589" i="16"/>
  <c r="O619" i="16"/>
  <c r="N643" i="16"/>
  <c r="O666" i="16"/>
  <c r="O692" i="16"/>
  <c r="N714" i="16"/>
  <c r="O741" i="16"/>
  <c r="O757" i="16"/>
  <c r="N784" i="16"/>
  <c r="O805" i="16"/>
  <c r="O827" i="16"/>
  <c r="N848" i="16"/>
  <c r="N871" i="16"/>
  <c r="N888" i="16"/>
  <c r="O904" i="16"/>
  <c r="O923" i="16"/>
  <c r="N940" i="16"/>
  <c r="N960" i="16"/>
  <c r="O976" i="16"/>
  <c r="N995" i="16"/>
  <c r="O1008" i="16"/>
  <c r="N1029" i="16"/>
  <c r="N1042" i="16"/>
  <c r="N160" i="16"/>
  <c r="O386" i="16"/>
  <c r="N562" i="16"/>
  <c r="O698" i="16"/>
  <c r="N829" i="16"/>
  <c r="O925" i="16"/>
  <c r="N1012" i="16"/>
  <c r="N196" i="16"/>
  <c r="N393" i="16"/>
  <c r="O562" i="16"/>
  <c r="O714" i="16"/>
  <c r="O829" i="16"/>
  <c r="N926" i="16"/>
  <c r="O1029" i="16"/>
  <c r="O203" i="16"/>
  <c r="O394" i="16"/>
  <c r="N590" i="16"/>
  <c r="N722" i="16"/>
  <c r="N830" i="16"/>
  <c r="O941" i="16"/>
  <c r="N1030" i="16"/>
  <c r="N211" i="16"/>
  <c r="O420" i="16"/>
  <c r="O590" i="16"/>
  <c r="O722" i="16"/>
  <c r="O848" i="16"/>
  <c r="O944" i="16"/>
  <c r="O1030" i="16"/>
  <c r="O243" i="16"/>
  <c r="N422" i="16"/>
  <c r="O591" i="16"/>
  <c r="N742" i="16"/>
  <c r="N850" i="16"/>
  <c r="N945" i="16"/>
  <c r="O1042" i="16"/>
  <c r="N248" i="16"/>
  <c r="O423" i="16"/>
  <c r="N621" i="16"/>
  <c r="O742" i="16"/>
  <c r="O850" i="16"/>
  <c r="O960" i="16"/>
  <c r="N249" i="16"/>
  <c r="O459" i="16"/>
  <c r="O621" i="16"/>
  <c r="N743" i="16"/>
  <c r="O871" i="16"/>
  <c r="N961" i="16"/>
  <c r="O285" i="16"/>
  <c r="O462" i="16"/>
  <c r="N622" i="16"/>
  <c r="O761" i="16"/>
  <c r="N872" i="16"/>
  <c r="O961" i="16"/>
  <c r="N61" i="16"/>
  <c r="N286" i="16"/>
  <c r="N464" i="16"/>
  <c r="O643" i="16"/>
  <c r="N762" i="16"/>
  <c r="O872" i="16"/>
  <c r="N977" i="16"/>
  <c r="N65" i="16"/>
  <c r="O286" i="16"/>
  <c r="N492" i="16"/>
  <c r="N644" i="16"/>
  <c r="N766" i="16"/>
  <c r="O888" i="16"/>
  <c r="O977" i="16"/>
  <c r="N66" i="16"/>
  <c r="N317" i="16"/>
  <c r="O492" i="16"/>
  <c r="O644" i="16"/>
  <c r="O784" i="16"/>
  <c r="N889" i="16"/>
  <c r="O981" i="16"/>
  <c r="N106" i="16"/>
  <c r="N318" i="16"/>
  <c r="N493" i="16"/>
  <c r="O669" i="16"/>
  <c r="N786" i="16"/>
  <c r="O889" i="16"/>
  <c r="O995" i="16"/>
  <c r="O106" i="16"/>
  <c r="O318" i="16"/>
  <c r="N524" i="16"/>
  <c r="O675" i="16"/>
  <c r="O786" i="16"/>
  <c r="O907" i="16"/>
  <c r="N996" i="16"/>
  <c r="N358" i="16"/>
  <c r="O551" i="16"/>
  <c r="O694" i="16"/>
  <c r="N807" i="16"/>
  <c r="N924" i="16"/>
  <c r="O1011" i="16"/>
  <c r="N806" i="16"/>
  <c r="O806" i="16"/>
  <c r="N908" i="16"/>
  <c r="O909" i="16"/>
  <c r="N997" i="16"/>
  <c r="N1011" i="16"/>
  <c r="O155" i="16"/>
  <c r="O349" i="16"/>
  <c r="O357" i="16"/>
  <c r="N525" i="16"/>
  <c r="N694" i="16"/>
  <c r="O525" i="16"/>
  <c r="N676" i="16"/>
  <c r="F105" i="16"/>
  <c r="O105" i="16" s="1"/>
  <c r="F148" i="16"/>
  <c r="O148" i="16" s="1"/>
  <c r="F111" i="16"/>
  <c r="O111" i="16" s="1"/>
  <c r="F115" i="16"/>
  <c r="O115" i="16" s="1"/>
  <c r="F160" i="16"/>
  <c r="O160" i="16" s="1"/>
  <c r="F156" i="16"/>
  <c r="O156" i="16" s="1"/>
  <c r="F124" i="16"/>
  <c r="O124" i="16" s="1"/>
  <c r="F123" i="16"/>
  <c r="O123" i="16" s="1"/>
  <c r="F173" i="16"/>
  <c r="O173" i="16" s="1"/>
  <c r="F174" i="16"/>
  <c r="O174" i="16" s="1"/>
  <c r="F153" i="16"/>
  <c r="O153" i="16" s="1"/>
  <c r="F110" i="16"/>
  <c r="O110" i="16" s="1"/>
  <c r="F112" i="16"/>
  <c r="O112" i="16" s="1"/>
  <c r="B15" i="15"/>
  <c r="B11" i="16"/>
  <c r="B7" i="9"/>
  <c r="D7" i="9" s="1"/>
  <c r="H11" i="3"/>
  <c r="H9" i="3"/>
  <c r="A8" i="1"/>
  <c r="G19" i="3"/>
  <c r="H12" i="3"/>
  <c r="H7" i="3"/>
  <c r="B13" i="2"/>
  <c r="H10" i="3"/>
  <c r="H8" i="3"/>
  <c r="W13" i="1"/>
  <c r="M8" i="5"/>
  <c r="N7" i="5"/>
  <c r="B10" i="2"/>
  <c r="B15" i="16" l="1"/>
  <c r="N8" i="5"/>
  <c r="B10" i="9"/>
  <c r="D10" i="9" s="1"/>
  <c r="O7" i="5"/>
  <c r="U7" i="5" s="1"/>
  <c r="M9" i="5"/>
  <c r="N9" i="5" s="1"/>
  <c r="O8" i="5"/>
  <c r="U8" i="5" s="1"/>
  <c r="F35" i="1"/>
  <c r="W9" i="1"/>
  <c r="F34" i="1"/>
  <c r="W8" i="1"/>
  <c r="F36" i="1"/>
  <c r="W10" i="1"/>
  <c r="F33" i="1"/>
  <c r="W7" i="1"/>
  <c r="W12" i="1"/>
  <c r="F38" i="1"/>
  <c r="B11" i="9"/>
  <c r="D11" i="9" s="1"/>
  <c r="K8" i="1"/>
  <c r="F37" i="1"/>
  <c r="W11" i="1"/>
  <c r="M10" i="5" l="1"/>
  <c r="N10" i="5" s="1"/>
  <c r="O9" i="5"/>
  <c r="U9" i="5" s="1"/>
  <c r="M11" i="5" l="1"/>
  <c r="O10" i="5"/>
  <c r="U10" i="5" s="1"/>
  <c r="B36" i="2" l="1"/>
  <c r="S7" i="1" s="1"/>
  <c r="M12" i="5"/>
  <c r="N11" i="5"/>
  <c r="N12" i="5" l="1"/>
  <c r="O11" i="5"/>
  <c r="M13" i="5"/>
  <c r="O12" i="5"/>
  <c r="U12" i="5" s="1"/>
  <c r="M14" i="5" l="1"/>
  <c r="N13" i="5"/>
  <c r="N14" i="5" s="1"/>
  <c r="D36" i="2"/>
  <c r="U11" i="5"/>
  <c r="O14" i="5" l="1"/>
  <c r="U14" i="5" s="1"/>
  <c r="M15" i="5"/>
  <c r="O13" i="5"/>
  <c r="U13" i="5" s="1"/>
  <c r="M16" i="5" l="1"/>
  <c r="N15" i="5"/>
  <c r="N16" i="5" l="1"/>
  <c r="B37" i="2"/>
  <c r="S8" i="1" s="1"/>
  <c r="M17" i="5"/>
  <c r="O16" i="5"/>
  <c r="O15" i="5"/>
  <c r="U15" i="5" s="1"/>
  <c r="D37" i="2" l="1"/>
  <c r="U16" i="5"/>
  <c r="M18" i="5"/>
  <c r="N17" i="5"/>
  <c r="N18" i="5" l="1"/>
  <c r="O17" i="5"/>
  <c r="U17" i="5" s="1"/>
  <c r="M19" i="5"/>
  <c r="O18" i="5"/>
  <c r="U18" i="5" s="1"/>
  <c r="M20" i="5" l="1"/>
  <c r="N19" i="5"/>
  <c r="N20" i="5" s="1"/>
  <c r="O19" i="5" l="1"/>
  <c r="U19" i="5" s="1"/>
  <c r="M21" i="5"/>
  <c r="N21" i="5" s="1"/>
  <c r="O20" i="5"/>
  <c r="U20" i="5" s="1"/>
  <c r="M22" i="5" l="1"/>
  <c r="O21" i="5"/>
  <c r="B38" i="2"/>
  <c r="S9" i="1" s="1"/>
  <c r="M23" i="5" l="1"/>
  <c r="D38" i="2"/>
  <c r="U21" i="5"/>
  <c r="N22" i="5"/>
  <c r="N23" i="5" s="1"/>
  <c r="O22" i="5" l="1"/>
  <c r="U22" i="5" s="1"/>
  <c r="O23" i="5"/>
  <c r="U23" i="5" s="1"/>
  <c r="M24" i="5"/>
  <c r="M25" i="5" l="1"/>
  <c r="N24" i="5"/>
  <c r="N25" i="5" s="1"/>
  <c r="M26" i="5" l="1"/>
  <c r="N26" i="5" s="1"/>
  <c r="O25" i="5"/>
  <c r="U25" i="5" s="1"/>
  <c r="O24" i="5"/>
  <c r="U24" i="5" s="1"/>
  <c r="M27" i="5" l="1"/>
  <c r="O26" i="5"/>
  <c r="B39" i="2"/>
  <c r="S10" i="1" s="1"/>
  <c r="N27" i="5"/>
  <c r="D39" i="2" l="1"/>
  <c r="U26" i="5"/>
  <c r="O27" i="5"/>
  <c r="U27" i="5" s="1"/>
  <c r="M28" i="5"/>
  <c r="M29" i="5" l="1"/>
  <c r="N28" i="5"/>
  <c r="N29" i="5" s="1"/>
  <c r="O29" i="5" l="1"/>
  <c r="U29" i="5" s="1"/>
  <c r="M30" i="5"/>
  <c r="N30" i="5" s="1"/>
  <c r="O28" i="5"/>
  <c r="U28" i="5" s="1"/>
  <c r="O30" i="5" l="1"/>
  <c r="U30" i="5" s="1"/>
  <c r="M31" i="5"/>
  <c r="N31" i="5" s="1"/>
  <c r="O31" i="5" l="1"/>
  <c r="B40" i="2"/>
  <c r="S11" i="1" s="1"/>
  <c r="M32" i="5"/>
  <c r="N32" i="5" s="1"/>
  <c r="U31" i="5" l="1"/>
  <c r="D40" i="2"/>
  <c r="O32" i="5"/>
  <c r="U32" i="5" s="1"/>
  <c r="M33" i="5"/>
  <c r="M34" i="5" l="1"/>
  <c r="N33" i="5"/>
  <c r="N34" i="5" l="1"/>
  <c r="O34" i="5" s="1"/>
  <c r="U34" i="5" s="1"/>
  <c r="M35" i="5"/>
  <c r="O33" i="5"/>
  <c r="U33" i="5" s="1"/>
  <c r="M36" i="5" l="1"/>
  <c r="N35" i="5"/>
  <c r="N36" i="5" l="1"/>
  <c r="O35" i="5"/>
  <c r="U35" i="5" s="1"/>
  <c r="B41" i="2"/>
  <c r="S12" i="1" s="1"/>
  <c r="M37" i="5"/>
  <c r="O36" i="5"/>
  <c r="M38" i="5" l="1"/>
  <c r="D41" i="2"/>
  <c r="U36" i="5"/>
  <c r="N37" i="5"/>
  <c r="N38" i="5" s="1"/>
  <c r="O37" i="5" l="1"/>
  <c r="U37" i="5" s="1"/>
  <c r="O38" i="5"/>
  <c r="U38" i="5" s="1"/>
  <c r="M39" i="5"/>
  <c r="M40" i="5" l="1"/>
  <c r="N39" i="5"/>
  <c r="M41" i="5" l="1"/>
  <c r="N40" i="5"/>
  <c r="O39" i="5"/>
  <c r="U39" i="5" s="1"/>
  <c r="N41" i="5" l="1"/>
  <c r="O40" i="5"/>
  <c r="U40" i="5" s="1"/>
  <c r="B42" i="2"/>
  <c r="S13" i="1" s="1"/>
  <c r="M42" i="5"/>
  <c r="O41" i="5"/>
  <c r="D42" i="2" l="1"/>
  <c r="U41" i="5"/>
  <c r="M43" i="5"/>
  <c r="N42" i="5"/>
  <c r="N43" i="5" l="1"/>
  <c r="O42" i="5"/>
  <c r="U42" i="5" s="1"/>
  <c r="M44" i="5"/>
  <c r="N44" i="5" s="1"/>
  <c r="O43" i="5"/>
  <c r="U43" i="5" s="1"/>
  <c r="M45" i="5" l="1"/>
  <c r="O44" i="5"/>
  <c r="U44" i="5" s="1"/>
  <c r="M46" i="5" l="1"/>
  <c r="N45" i="5"/>
  <c r="N46" i="5" l="1"/>
  <c r="M47" i="5"/>
  <c r="O46" i="5"/>
  <c r="B43" i="2"/>
  <c r="S14" i="1" s="1"/>
  <c r="O45" i="5"/>
  <c r="U45" i="5" s="1"/>
  <c r="N47" i="5" l="1"/>
  <c r="D43" i="2"/>
  <c r="U46" i="5"/>
  <c r="M48" i="5"/>
  <c r="O47" i="5"/>
  <c r="U47" i="5" s="1"/>
  <c r="M49" i="5" l="1"/>
  <c r="N48" i="5"/>
  <c r="N49" i="5" l="1"/>
  <c r="O48" i="5"/>
  <c r="U48" i="5" s="1"/>
  <c r="M50" i="5"/>
  <c r="N50" i="5" s="1"/>
  <c r="O49" i="5"/>
  <c r="U49" i="5" s="1"/>
  <c r="O50" i="5" l="1"/>
  <c r="U50" i="5" s="1"/>
  <c r="M51" i="5"/>
  <c r="B44" i="2" l="1"/>
  <c r="S15" i="1" s="1"/>
  <c r="M52" i="5"/>
  <c r="N51" i="5"/>
  <c r="N52" i="5" l="1"/>
  <c r="O52" i="5"/>
  <c r="U52" i="5" s="1"/>
  <c r="M53" i="5"/>
  <c r="N53" i="5" s="1"/>
  <c r="O51" i="5"/>
  <c r="U51" i="5" l="1"/>
  <c r="D44" i="2"/>
  <c r="M54" i="5"/>
  <c r="O53" i="5"/>
  <c r="U53" i="5" s="1"/>
  <c r="M55" i="5" l="1"/>
  <c r="N54" i="5"/>
  <c r="N55" i="5" s="1"/>
  <c r="O55" i="5" l="1"/>
  <c r="U55" i="5" s="1"/>
  <c r="M56" i="5"/>
  <c r="O54" i="5"/>
  <c r="U54" i="5" s="1"/>
  <c r="B45" i="2" l="1"/>
  <c r="S16" i="1" s="1"/>
  <c r="M57" i="5"/>
  <c r="N56" i="5"/>
  <c r="N57" i="5" s="1"/>
  <c r="M58" i="5" l="1"/>
  <c r="O57" i="5"/>
  <c r="U57" i="5" s="1"/>
  <c r="N58" i="5"/>
  <c r="O56" i="5"/>
  <c r="D45" i="2" l="1"/>
  <c r="U56" i="5"/>
  <c r="O58" i="5"/>
  <c r="U58" i="5" s="1"/>
  <c r="M59" i="5"/>
  <c r="M60" i="5" l="1"/>
  <c r="N59" i="5"/>
  <c r="N60" i="5" l="1"/>
  <c r="O60" i="5" s="1"/>
  <c r="U60" i="5" s="1"/>
  <c r="O59" i="5"/>
  <c r="U59" i="5" s="1"/>
  <c r="M61" i="5"/>
  <c r="B46" i="2" l="1"/>
  <c r="S17" i="1" s="1"/>
  <c r="M62" i="5"/>
  <c r="N61" i="5"/>
  <c r="N62" i="5" s="1"/>
  <c r="O61" i="5" l="1"/>
  <c r="M63" i="5"/>
  <c r="O62" i="5"/>
  <c r="U62" i="5" s="1"/>
  <c r="M64" i="5" l="1"/>
  <c r="U61" i="5"/>
  <c r="D46" i="2"/>
  <c r="N63" i="5"/>
  <c r="N64" i="5" s="1"/>
  <c r="O63" i="5" l="1"/>
  <c r="U63" i="5" s="1"/>
  <c r="M65" i="5"/>
  <c r="N65" i="5" s="1"/>
  <c r="O64" i="5"/>
  <c r="U64" i="5" s="1"/>
  <c r="M66" i="5" l="1"/>
  <c r="O65" i="5"/>
  <c r="U65" i="5" s="1"/>
  <c r="B47" i="2" l="1"/>
  <c r="S18" i="1" s="1"/>
  <c r="M67" i="5"/>
  <c r="N66" i="5"/>
  <c r="N67" i="5" l="1"/>
  <c r="O66" i="5"/>
  <c r="O67" i="5"/>
  <c r="U67" i="5" s="1"/>
  <c r="M68" i="5"/>
  <c r="M69" i="5" l="1"/>
  <c r="D47" i="2"/>
  <c r="U66" i="5"/>
  <c r="N68" i="5"/>
  <c r="N69" i="5" l="1"/>
  <c r="M70" i="5"/>
  <c r="O69" i="5"/>
  <c r="U69" i="5" s="1"/>
  <c r="O68" i="5"/>
  <c r="U68" i="5" s="1"/>
  <c r="M71" i="5" l="1"/>
  <c r="N70" i="5"/>
  <c r="N71" i="5" s="1"/>
  <c r="O70" i="5" l="1"/>
  <c r="U70" i="5" s="1"/>
  <c r="B48" i="2"/>
  <c r="S19" i="1" s="1"/>
  <c r="O71" i="5"/>
  <c r="M72" i="5"/>
  <c r="M73" i="5" l="1"/>
  <c r="U71" i="5"/>
  <c r="D48" i="2"/>
  <c r="N72" i="5"/>
  <c r="N73" i="5" s="1"/>
  <c r="O72" i="5" l="1"/>
  <c r="U72" i="5" s="1"/>
  <c r="O73" i="5"/>
  <c r="U73" i="5" s="1"/>
  <c r="M74" i="5"/>
  <c r="N74" i="5" s="1"/>
  <c r="O74" i="5" l="1"/>
  <c r="U74" i="5" s="1"/>
  <c r="M75" i="5"/>
  <c r="M76" i="5" l="1"/>
  <c r="N75" i="5"/>
  <c r="N76" i="5" s="1"/>
  <c r="O75" i="5" l="1"/>
  <c r="U75" i="5" s="1"/>
  <c r="B49" i="2"/>
  <c r="S20" i="1" s="1"/>
  <c r="O76" i="5"/>
  <c r="M77" i="5"/>
  <c r="M78" i="5" l="1"/>
  <c r="D49" i="2"/>
  <c r="U76" i="5"/>
  <c r="N77" i="5"/>
  <c r="N78" i="5" s="1"/>
  <c r="O77" i="5" l="1"/>
  <c r="U77" i="5" s="1"/>
  <c r="O78" i="5"/>
  <c r="U78" i="5" s="1"/>
  <c r="M79" i="5"/>
  <c r="M80" i="5" l="1"/>
  <c r="N79" i="5"/>
  <c r="N80" i="5" s="1"/>
  <c r="O80" i="5" l="1"/>
  <c r="U80" i="5" s="1"/>
  <c r="M81" i="5"/>
  <c r="O79" i="5"/>
  <c r="U79" i="5" s="1"/>
  <c r="B50" i="2" l="1"/>
  <c r="S21" i="1" s="1"/>
  <c r="M82" i="5"/>
  <c r="N81" i="5"/>
  <c r="N82" i="5" s="1"/>
  <c r="O82" i="5" l="1"/>
  <c r="U82" i="5" s="1"/>
  <c r="M83" i="5"/>
  <c r="O81" i="5"/>
  <c r="M84" i="5" l="1"/>
  <c r="D50" i="2"/>
  <c r="U81" i="5"/>
  <c r="N83" i="5"/>
  <c r="N84" i="5" s="1"/>
  <c r="O84" i="5" l="1"/>
  <c r="U84" i="5" s="1"/>
  <c r="M85" i="5"/>
  <c r="O83" i="5"/>
  <c r="U83" i="5" s="1"/>
  <c r="M86" i="5" l="1"/>
  <c r="N85" i="5"/>
  <c r="N86" i="5" s="1"/>
  <c r="B51" i="2" l="1"/>
  <c r="S22" i="1" s="1"/>
  <c r="O86" i="5"/>
  <c r="M87" i="5"/>
  <c r="O85" i="5"/>
  <c r="U85" i="5" s="1"/>
  <c r="M88" i="5" l="1"/>
  <c r="U86" i="5"/>
  <c r="D51" i="2"/>
  <c r="N87" i="5"/>
  <c r="N88" i="5" s="1"/>
  <c r="O87" i="5" l="1"/>
  <c r="U87" i="5" s="1"/>
  <c r="O88" i="5"/>
  <c r="U88" i="5" s="1"/>
  <c r="M89" i="5"/>
  <c r="N89" i="5" s="1"/>
  <c r="M90" i="5" l="1"/>
  <c r="O89" i="5"/>
  <c r="U89" i="5" s="1"/>
  <c r="M91" i="5" l="1"/>
  <c r="N90" i="5"/>
  <c r="N91" i="5" l="1"/>
  <c r="O91" i="5"/>
  <c r="M92" i="5"/>
  <c r="B52" i="2"/>
  <c r="S23" i="1" s="1"/>
  <c r="O90" i="5"/>
  <c r="U90" i="5" s="1"/>
  <c r="U91" i="5" l="1"/>
  <c r="D52" i="2"/>
  <c r="M93" i="5"/>
  <c r="N92" i="5"/>
  <c r="N93" i="5" l="1"/>
  <c r="O93" i="5" s="1"/>
  <c r="U93" i="5" s="1"/>
  <c r="O92" i="5"/>
  <c r="U92" i="5" s="1"/>
  <c r="M94" i="5"/>
  <c r="M95" i="5" l="1"/>
  <c r="N94" i="5"/>
  <c r="N95" i="5" s="1"/>
  <c r="O94" i="5" l="1"/>
  <c r="U94" i="5" s="1"/>
  <c r="O95" i="5"/>
  <c r="U95" i="5" s="1"/>
  <c r="M96" i="5"/>
  <c r="B53" i="2" l="1"/>
  <c r="S24" i="1" s="1"/>
  <c r="M97" i="5"/>
  <c r="N96" i="5"/>
  <c r="N97" i="5" l="1"/>
  <c r="M98" i="5"/>
  <c r="O97" i="5"/>
  <c r="U97" i="5" s="1"/>
  <c r="O96" i="5"/>
  <c r="D53" i="2" l="1"/>
  <c r="U96" i="5"/>
  <c r="M99" i="5"/>
  <c r="N98" i="5"/>
  <c r="N99" i="5" s="1"/>
  <c r="O99" i="5" l="1"/>
  <c r="U99" i="5" s="1"/>
  <c r="M100" i="5"/>
  <c r="O98" i="5"/>
  <c r="U98" i="5" s="1"/>
  <c r="M101" i="5" l="1"/>
  <c r="N100" i="5"/>
  <c r="N101" i="5" s="1"/>
  <c r="B54" i="2" l="1"/>
  <c r="S25" i="1" s="1"/>
  <c r="M102" i="5"/>
  <c r="O101" i="5"/>
  <c r="O100" i="5"/>
  <c r="U100" i="5" s="1"/>
  <c r="D54" i="2" l="1"/>
  <c r="U101" i="5"/>
  <c r="M103" i="5"/>
  <c r="N102" i="5"/>
  <c r="N103" i="5" l="1"/>
  <c r="O103" i="5" s="1"/>
  <c r="U103" i="5" s="1"/>
  <c r="O102" i="5"/>
  <c r="U102" i="5" s="1"/>
  <c r="M104" i="5"/>
  <c r="M105" i="5" l="1"/>
  <c r="N104" i="5"/>
  <c r="N105" i="5" l="1"/>
  <c r="M106" i="5"/>
  <c r="O105" i="5"/>
  <c r="U105" i="5" s="1"/>
  <c r="N106" i="5"/>
  <c r="O104" i="5"/>
  <c r="U104" i="5" s="1"/>
  <c r="B55" i="2" l="1"/>
  <c r="S26" i="1" s="1"/>
  <c r="O106" i="5"/>
  <c r="M107" i="5"/>
  <c r="D55" i="2" l="1"/>
  <c r="U106" i="5"/>
  <c r="M108" i="5"/>
  <c r="N107" i="5"/>
  <c r="N108" i="5" s="1"/>
  <c r="M109" i="5" l="1"/>
  <c r="N109" i="5" s="1"/>
  <c r="O108" i="5"/>
  <c r="U108" i="5" s="1"/>
  <c r="O107" i="5"/>
  <c r="U107" i="5" s="1"/>
  <c r="O109" i="5" l="1"/>
  <c r="U109" i="5" s="1"/>
  <c r="M110" i="5"/>
  <c r="N110" i="5" s="1"/>
  <c r="M111" i="5" l="1"/>
  <c r="O110" i="5"/>
  <c r="U110" i="5" s="1"/>
  <c r="M112" i="5" l="1"/>
  <c r="B56" i="2"/>
  <c r="S27" i="1" s="1"/>
  <c r="N111" i="5"/>
  <c r="N112" i="5" l="1"/>
  <c r="O111" i="5"/>
  <c r="O112" i="5"/>
  <c r="U112" i="5" s="1"/>
  <c r="M113" i="5"/>
  <c r="M114" i="5" l="1"/>
  <c r="U111" i="5"/>
  <c r="D56" i="2"/>
  <c r="N113" i="5"/>
  <c r="N114" i="5" l="1"/>
  <c r="O114" i="5" s="1"/>
  <c r="U114" i="5" s="1"/>
  <c r="M115" i="5"/>
  <c r="O113" i="5"/>
  <c r="U113" i="5" s="1"/>
  <c r="N115" i="5" l="1"/>
  <c r="O115" i="5" s="1"/>
  <c r="U115" i="5" s="1"/>
  <c r="M116" i="5"/>
  <c r="N116" i="5" l="1"/>
  <c r="B57" i="2"/>
  <c r="S28" i="1" s="1"/>
  <c r="O116" i="5"/>
  <c r="M117" i="5"/>
  <c r="N117" i="5" s="1"/>
  <c r="D57" i="2" l="1"/>
  <c r="U116" i="5"/>
  <c r="M118" i="5"/>
  <c r="O117" i="5"/>
  <c r="U117" i="5" s="1"/>
  <c r="N118" i="5"/>
  <c r="M119" i="5" l="1"/>
  <c r="N119" i="5" s="1"/>
  <c r="O118" i="5"/>
  <c r="U118" i="5" s="1"/>
  <c r="M120" i="5" l="1"/>
  <c r="N120" i="5" s="1"/>
  <c r="O119" i="5"/>
  <c r="U119" i="5" s="1"/>
  <c r="M121" i="5" l="1"/>
  <c r="O120" i="5"/>
  <c r="U120" i="5" s="1"/>
  <c r="B58" i="2" l="1"/>
  <c r="S29" i="1" s="1"/>
  <c r="M122" i="5"/>
  <c r="N121" i="5"/>
  <c r="N122" i="5" l="1"/>
  <c r="O121" i="5"/>
  <c r="O122" i="5"/>
  <c r="U122" i="5" s="1"/>
  <c r="M123" i="5"/>
  <c r="M124" i="5" l="1"/>
  <c r="D58" i="2"/>
  <c r="U121" i="5"/>
  <c r="N123" i="5"/>
  <c r="N124" i="5" s="1"/>
  <c r="O123" i="5" l="1"/>
  <c r="U123" i="5" s="1"/>
  <c r="O124" i="5"/>
  <c r="U124" i="5" s="1"/>
  <c r="M125" i="5"/>
  <c r="M126" i="5" l="1"/>
  <c r="N125" i="5"/>
  <c r="N126" i="5" s="1"/>
  <c r="M127" i="5" l="1"/>
  <c r="B59" i="2"/>
  <c r="S30" i="1" s="1"/>
  <c r="O126" i="5"/>
  <c r="O125" i="5"/>
  <c r="U125" i="5" s="1"/>
  <c r="D59" i="2" l="1"/>
  <c r="U126" i="5"/>
  <c r="M128" i="5"/>
  <c r="N127" i="5"/>
  <c r="N128" i="5" l="1"/>
  <c r="O127" i="5"/>
  <c r="U127" i="5" s="1"/>
  <c r="M129" i="5"/>
  <c r="O128" i="5"/>
  <c r="U128" i="5" s="1"/>
  <c r="M130" i="5" l="1"/>
  <c r="N129" i="5"/>
  <c r="N130" i="5" l="1"/>
  <c r="O130" i="5" s="1"/>
  <c r="U130" i="5" s="1"/>
  <c r="O129" i="5"/>
  <c r="U129" i="5" s="1"/>
  <c r="M131" i="5"/>
  <c r="B60" i="2" l="1"/>
  <c r="S31" i="1" s="1"/>
  <c r="M132" i="5"/>
  <c r="N131" i="5"/>
  <c r="N132" i="5" l="1"/>
  <c r="O132" i="5" s="1"/>
  <c r="U132" i="5" s="1"/>
  <c r="O131" i="5"/>
  <c r="M133" i="5"/>
  <c r="N133" i="5" l="1"/>
  <c r="O133" i="5" s="1"/>
  <c r="U133" i="5" s="1"/>
  <c r="M134" i="5"/>
  <c r="D60" i="2"/>
  <c r="U131" i="5"/>
  <c r="M135" i="5" l="1"/>
  <c r="N134" i="5"/>
  <c r="N135" i="5" l="1"/>
  <c r="O135" i="5" s="1"/>
  <c r="U135" i="5" s="1"/>
  <c r="M136" i="5"/>
  <c r="O134" i="5"/>
  <c r="U134" i="5" s="1"/>
  <c r="A11" i="1" l="1"/>
  <c r="B9" i="2" s="1"/>
  <c r="B61" i="2"/>
  <c r="S32" i="1" s="1"/>
  <c r="N136" i="5"/>
  <c r="O136" i="5" s="1"/>
  <c r="D61" i="2" l="1"/>
  <c r="U136" i="5"/>
  <c r="K11" i="1" s="1"/>
  <c r="B1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E966C2-B328-4229-B854-A3220831985C}" keepAlive="1" interval="5" name="Connection" type="5" refreshedVersion="8" refreshOnLoad="1" saveData="1">
    <dbPr connection="Provider=Microsoft.Mashup.OleDb.1;Data Source=$Workbook$;Location=CleanTransactions;Extended Properties=&quot;&quot;;" command="SELECT * FROM [CleanTransactions]"/>
  </connection>
  <connection id="2" xr16:uid="{B0DD4A80-D3A2-47AF-9BB0-94A878219B57}" keepAlive="1" interval="5" name="Connection1" type="5" refreshedVersion="8" refreshOnLoad="1" saveData="1">
    <dbPr connection="Provider=Microsoft.Mashup.OleDb.1;Data Source=$Workbook$;Location=QuoteSnapshot;Extended Properties=&quot;&quot;;" command="SELECT * FROM [QuoteSnapshot]"/>
  </connection>
  <connection id="3" xr16:uid="{522AD469-8AA8-4A69-9B83-763EC7794CA9}" keepAlive="1" interval="1" name="Connection2" type="5" refreshedVersion="8" refreshOnLoad="1" saveData="1">
    <dbPr connection="Provider=Microsoft.Mashup.OleDb.1;Data Source=$Workbook$;Location=FollowedQuotes;Extended Properties=&quot;&quot;;" command="SELECT * FROM [FollowedQuotes]"/>
  </connection>
  <connection id="4" xr16:uid="{7A061605-74F1-49C4-8212-2AE24D2CD864}" keepAlive="1" interval="30" name="Connection3" type="5" refreshedVersion="8" refreshOnLoad="1" saveData="1">
    <dbPr connection="Provider=Microsoft.Mashup.OleDb.1;Data Source=$Workbook$;Location=HeadlinesFeed;Extended Properties=&quot;&quot;;" command="SELECT * FROM [HeadlinesFeed]"/>
  </connection>
</connections>
</file>

<file path=xl/sharedStrings.xml><?xml version="1.0" encoding="utf-8"?>
<sst xmlns="http://schemas.openxmlformats.org/spreadsheetml/2006/main" count="1154" uniqueCount="545">
  <si>
    <t>Portfolio</t>
  </si>
  <si>
    <t>Model</t>
  </si>
  <si>
    <t>Valuation date</t>
  </si>
  <si>
    <t>Week</t>
  </si>
  <si>
    <t>Benchmark</t>
  </si>
  <si>
    <t>Asset</t>
  </si>
  <si>
    <t>Weight</t>
  </si>
  <si>
    <t>Total value (INR)</t>
  </si>
  <si>
    <t>Maximum drawdown</t>
  </si>
  <si>
    <t>Refresh: Data &gt; Refresh All</t>
  </si>
  <si>
    <t>Cash</t>
  </si>
  <si>
    <t>Instrument</t>
  </si>
  <si>
    <t>Sector</t>
  </si>
  <si>
    <t>Units</t>
  </si>
  <si>
    <t>Price (INR)</t>
  </si>
  <si>
    <t>Value (INR)</t>
  </si>
  <si>
    <t>Unrealized P&amp;L</t>
  </si>
  <si>
    <t>Realized P&amp;L</t>
  </si>
  <si>
    <t>Prices observed</t>
  </si>
  <si>
    <t>Last quote refresh</t>
  </si>
  <si>
    <t>Live data: not connected</t>
  </si>
  <si>
    <t>Cash (INR)</t>
  </si>
  <si>
    <t>Transaction inputs</t>
  </si>
  <si>
    <t>Performance and risk</t>
  </si>
  <si>
    <t>Synthetic portfolio and benchmark. Historical risk estimates are descriptive, not forecasts.</t>
  </si>
  <si>
    <t>Through</t>
  </si>
  <si>
    <t>Metric</t>
  </si>
  <si>
    <t>Basis</t>
  </si>
  <si>
    <t>Cumulative return</t>
  </si>
  <si>
    <t>Cash-flow-adjusted portfolio; fictional total-return benchmark</t>
  </si>
  <si>
    <t>Annualized volatility</t>
  </si>
  <si>
    <t>Daily sample standard deviation x square root of 252</t>
  </si>
  <si>
    <t>n.a.</t>
  </si>
  <si>
    <t>Peak includes the initial pre-fee index of 100</t>
  </si>
  <si>
    <t>Observations</t>
  </si>
  <si>
    <t>Returns after the initial funded day</t>
  </si>
  <si>
    <t>Cash weight</t>
  </si>
  <si>
    <t>Cash earns no interest in this demonstration</t>
  </si>
  <si>
    <t>Week ending</t>
  </si>
  <si>
    <t>Portfolio index</t>
  </si>
  <si>
    <t>Benchmark index</t>
  </si>
  <si>
    <t>Drawdown</t>
  </si>
  <si>
    <t>Name</t>
  </si>
  <si>
    <t>Price date</t>
  </si>
  <si>
    <t>Cost basis</t>
  </si>
  <si>
    <t>Dividends</t>
  </si>
  <si>
    <t>SYN_BANK</t>
  </si>
  <si>
    <t>Demo Bank</t>
  </si>
  <si>
    <t>Banking</t>
  </si>
  <si>
    <t>SYN_TECH</t>
  </si>
  <si>
    <t>Demo Technology</t>
  </si>
  <si>
    <t>Technology</t>
  </si>
  <si>
    <t>SYN_HEALTH</t>
  </si>
  <si>
    <t>Demo Healthcare</t>
  </si>
  <si>
    <t>Healthcare</t>
  </si>
  <si>
    <t>SYN_INDUSTRY</t>
  </si>
  <si>
    <t>Demo Industry</t>
  </si>
  <si>
    <t>Industrials</t>
  </si>
  <si>
    <t>SYN_BROAD_ETF</t>
  </si>
  <si>
    <t>Demo Broad ETF</t>
  </si>
  <si>
    <t>Diversified equity</t>
  </si>
  <si>
    <t>SYN_BOND_ETF</t>
  </si>
  <si>
    <t>Demo Bond ETF</t>
  </si>
  <si>
    <t>Fixed income</t>
  </si>
  <si>
    <t>Securities</t>
  </si>
  <si>
    <t>Total value</t>
  </si>
  <si>
    <t>Investment gain</t>
  </si>
  <si>
    <t>Fees</t>
  </si>
  <si>
    <t>First funding date</t>
  </si>
  <si>
    <t>Transaction accounting</t>
  </si>
  <si>
    <t>Query output sorted by date and EventID. Cost basis uses weighted-average cost.</t>
  </si>
  <si>
    <t>EventID</t>
  </si>
  <si>
    <t>Date</t>
  </si>
  <si>
    <t>Type</t>
  </si>
  <si>
    <t>Quantity</t>
  </si>
  <si>
    <t>Price</t>
  </si>
  <si>
    <t>Amount</t>
  </si>
  <si>
    <t>UnitsDelta</t>
  </si>
  <si>
    <t>CashDelta</t>
  </si>
  <si>
    <t>ExternalFlow</t>
  </si>
  <si>
    <t>PriorUnits</t>
  </si>
  <si>
    <t>PriorCost</t>
  </si>
  <si>
    <t>CostChange</t>
  </si>
  <si>
    <t>RealizedPnL</t>
  </si>
  <si>
    <t>PositionAfter</t>
  </si>
  <si>
    <t>CostAfter</t>
  </si>
  <si>
    <t>RecordStatus</t>
  </si>
  <si>
    <t>SourceKey</t>
  </si>
  <si>
    <t>InputMatch</t>
  </si>
  <si>
    <t>EVT-0001</t>
  </si>
  <si>
    <t>DEPOSIT</t>
  </si>
  <si>
    <t>CASH</t>
  </si>
  <si>
    <t>EVT-0002</t>
  </si>
  <si>
    <t>BUY</t>
  </si>
  <si>
    <t>EVT-0003</t>
  </si>
  <si>
    <t>EVT-0004</t>
  </si>
  <si>
    <t>EVT-0005</t>
  </si>
  <si>
    <t>EVT-0006</t>
  </si>
  <si>
    <t>EVT-0007</t>
  </si>
  <si>
    <t>EVT-0008</t>
  </si>
  <si>
    <t>Practice</t>
  </si>
  <si>
    <t>EVT-0009</t>
  </si>
  <si>
    <t>EVT-0010</t>
  </si>
  <si>
    <t>EVT-0011</t>
  </si>
  <si>
    <t>EVT-0012</t>
  </si>
  <si>
    <t>EVT-0013</t>
  </si>
  <si>
    <t>EVT-0014</t>
  </si>
  <si>
    <t>EVT-0015</t>
  </si>
  <si>
    <t>EVT-0016</t>
  </si>
  <si>
    <t>EVT-0017</t>
  </si>
  <si>
    <t>EVT-0018</t>
  </si>
  <si>
    <t>EVT-0019</t>
  </si>
  <si>
    <t>EVT-0020</t>
  </si>
  <si>
    <t>EVT-0021</t>
  </si>
  <si>
    <t>SELL</t>
  </si>
  <si>
    <t>EVT-0022</t>
  </si>
  <si>
    <t>EVT-0023</t>
  </si>
  <si>
    <t>SPLIT</t>
  </si>
  <si>
    <t>EVT-0024</t>
  </si>
  <si>
    <t>EVT-0025</t>
  </si>
  <si>
    <t>EVT-0026</t>
  </si>
  <si>
    <t>EVT-0027</t>
  </si>
  <si>
    <t>DIVIDEND</t>
  </si>
  <si>
    <t>EVT-0028</t>
  </si>
  <si>
    <t>EVT-0029</t>
  </si>
  <si>
    <t>FEE</t>
  </si>
  <si>
    <t>EVT-0030</t>
  </si>
  <si>
    <t>EVT-0031</t>
  </si>
  <si>
    <t>WITHDRAW</t>
  </si>
  <si>
    <t>EVT-0032</t>
  </si>
  <si>
    <t>EVT-0033</t>
  </si>
  <si>
    <t>EVT-0034</t>
  </si>
  <si>
    <t>EVT-0035</t>
  </si>
  <si>
    <t>EVT-0036</t>
  </si>
  <si>
    <t>Daily portfolio calculation</t>
  </si>
  <si>
    <t>Daily flows are at the close, except the initial deposit. Prices include explicit synthetic corporate actions.</t>
  </si>
  <si>
    <t>BANK units</t>
  </si>
  <si>
    <t>TECH units</t>
  </si>
  <si>
    <t>HEALTH units</t>
  </si>
  <si>
    <t>INDUSTRY units</t>
  </si>
  <si>
    <t>BROAD_ETF units</t>
  </si>
  <si>
    <t>BOND_ETF units</t>
  </si>
  <si>
    <t>Value</t>
  </si>
  <si>
    <t>External flow</t>
  </si>
  <si>
    <t>Daily return</t>
  </si>
  <si>
    <t>Return index</t>
  </si>
  <si>
    <t>Peak index</t>
  </si>
  <si>
    <t>Benchmark return</t>
  </si>
  <si>
    <t>Investor cash flow</t>
  </si>
  <si>
    <t>Price coverage</t>
  </si>
  <si>
    <t>Chart date</t>
  </si>
  <si>
    <t>Drawdown to date</t>
  </si>
  <si>
    <t>Portfolio risk sample</t>
  </si>
  <si>
    <t>Benchmark risk sample</t>
  </si>
  <si>
    <t>Import state</t>
  </si>
  <si>
    <t>Synthetic price history</t>
  </si>
  <si>
    <t>Fictional prices. Weekday simulation calendar; not NSE trading history.</t>
  </si>
  <si>
    <t>BENCH</t>
  </si>
  <si>
    <t>Stock</t>
  </si>
  <si>
    <t>ETF</t>
  </si>
  <si>
    <t>Source: deterministic synthetic dataset v1.</t>
  </si>
  <si>
    <t>BENCH is a fictional total-return index.</t>
  </si>
  <si>
    <t>Prices are raw: the split and dividend affect the price path.</t>
  </si>
  <si>
    <t>No prices, transactions or names represent actual investments.</t>
  </si>
  <si>
    <t>Synthetic quote snapshot</t>
  </si>
  <si>
    <t>ObservedAt</t>
  </si>
  <si>
    <t>RefreshedAt</t>
  </si>
  <si>
    <t>Accounting checks</t>
  </si>
  <si>
    <t>These checks observe the model. They do not supply its calculations.</t>
  </si>
  <si>
    <t>Check</t>
  </si>
  <si>
    <t>Observed</t>
  </si>
  <si>
    <t>Expected</t>
  </si>
  <si>
    <t>Result</t>
  </si>
  <si>
    <t>Value reconciliation</t>
  </si>
  <si>
    <t>Transaction record issues</t>
  </si>
  <si>
    <t>Price observations per date</t>
  </si>
  <si>
    <t>Allocation incl. cash</t>
  </si>
  <si>
    <t>P&amp;L reconciliation</t>
  </si>
  <si>
    <t>Using the demonstration</t>
  </si>
  <si>
    <t>Standard .xlsx. No Python, macros, add-ins, brokerage account or network connection is needed.</t>
  </si>
  <si>
    <t>Topic</t>
  </si>
  <si>
    <t>Explanation</t>
  </si>
  <si>
    <t>Purpose</t>
  </si>
  <si>
    <t>Explore an auditable portfolio workflow using simulated data. All financial results are synthetic.</t>
  </si>
  <si>
    <t>Start</t>
  </si>
  <si>
    <t>Edit</t>
  </si>
  <si>
    <t>On Import edit or append rows within the DemoEvents table. Choose Data &gt; Refresh All.</t>
  </si>
  <si>
    <t>Refresh</t>
  </si>
  <si>
    <t>CleanTransactions and QuoteSnapshot are local Power Query connections, set to refresh every five minutes while Excel is open.</t>
  </si>
  <si>
    <t>Enable content</t>
  </si>
  <si>
    <t>If Excel asks, enable data connections only for this trusted local demonstration. It makes no network requests.</t>
  </si>
  <si>
    <t>Duplicates</t>
  </si>
  <si>
    <t>Identical repeated rows are ignored. Conflicting records with the same EventID stop the import.</t>
  </si>
  <si>
    <t>Failed import</t>
  </si>
  <si>
    <t>Capacity</t>
  </si>
  <si>
    <t>The demo supports up to 1,000 ledger events and the supplied 130 weekday dates. Extend the model deliberately for longer history.</t>
  </si>
  <si>
    <t>Event fields</t>
  </si>
  <si>
    <t>BUY/SELL: positive Quantity and Price, nonnegative Fees. Cash events use positive Amount. Unused numeric fields are zero.</t>
  </si>
  <si>
    <t>Transfer charges</t>
  </si>
  <si>
    <t>Enter transfer or corporate-action charges as a separate FEE event. Nonzero Fees on DEPOSIT/WITHDRAW/SPLIT/BONUS are rejected.</t>
  </si>
  <si>
    <t>Corporate actions</t>
  </si>
  <si>
    <t>SPLIT/BONUS Quantity is the incremental number of shares, not the split ratio. No cash or cost basis is added.</t>
  </si>
  <si>
    <t>Buys add purchase price plus fees. Sales remove weighted-average cost; sale fees reduce realized profit. This is not tax accounting.</t>
  </si>
  <si>
    <t>Cash flow</t>
  </si>
  <si>
    <t>Deposits/withdrawals are external flows. Trades and retained dividends are internal to the portfolio.</t>
  </si>
  <si>
    <t>(Closing value minus end-of-day external flow) / previous closing value minus 1. Initial funding is at the start of day.</t>
  </si>
  <si>
    <t>First day</t>
  </si>
  <si>
    <t>The first return includes transaction fees: closing value / opening deposit minus 1.</t>
  </si>
  <si>
    <t>Inception</t>
  </si>
  <si>
    <t>Benchmark comparisons and volatility start at the selected portfolio's first deposit. Dates before funding have no return.</t>
  </si>
  <si>
    <t>Money-weighted return</t>
  </si>
  <si>
    <t>XIRR uses dated investor deposits as negatives, withdrawals as positives, and ending value as a terminal receipt.</t>
  </si>
  <si>
    <t>Volatility</t>
  </si>
  <si>
    <t>Sample standard deviation of daily returns after the initial day, annualized with 252. No risk-free rate or Sharpe ratio is assumed.</t>
  </si>
  <si>
    <t>BENCH is a fictional total-return index. It is not NIFTY, SENSEX or an investable security.</t>
  </si>
  <si>
    <t>Decline from the prior high in the cash-flow-adjusted return index, including its initial value of 100.</t>
  </si>
  <si>
    <t>Prices</t>
  </si>
  <si>
    <t>Raw simulated closes include a technology split and a healthcare dividend adjustment. The ledger records their matching events.</t>
  </si>
  <si>
    <t>Observation time</t>
  </si>
  <si>
    <t>ObservedAt is the synthetic closing-price time. RefreshedAt records when the local query ran. Refreshing does not create new market data.</t>
  </si>
  <si>
    <t>Actual investments</t>
  </si>
  <si>
    <t>A broker-export adapter and validated opening balances are still required before importing actual investments.</t>
  </si>
  <si>
    <t>Later live connection</t>
  </si>
  <si>
    <t>Account access, quote/history schemas, corporate-action treatment and benchmark data will be validated before a connected release.</t>
  </si>
  <si>
    <t>Provenance</t>
  </si>
  <si>
    <t>Generated from synthetic-demo-v1.json with a fixed seed. No licensed exchange data or private transactions are included.</t>
  </si>
  <si>
    <t>Try a change</t>
  </si>
  <si>
    <t>Follow</t>
  </si>
  <si>
    <t>Notes</t>
  </si>
  <si>
    <t>Day change</t>
  </si>
  <si>
    <t>Yes</t>
  </si>
  <si>
    <t>Followed example</t>
  </si>
  <si>
    <t>No</t>
  </si>
  <si>
    <t>Followed quote snapshots</t>
  </si>
  <si>
    <t>One-minute query output. Follow flags and notes stay on Watchlist. Synthetic source only.</t>
  </si>
  <si>
    <t>FollowSet</t>
  </si>
  <si>
    <t>Status</t>
  </si>
  <si>
    <t>AttemptedAt</t>
  </si>
  <si>
    <t>SYN_BANK|SYN_TECH|</t>
  </si>
  <si>
    <t>OK</t>
  </si>
  <si>
    <t>SlowPrice</t>
  </si>
  <si>
    <t>SlowObserved</t>
  </si>
  <si>
    <t>SlowRefreshed</t>
  </si>
  <si>
    <t>FastPrice</t>
  </si>
  <si>
    <t>FastObserved</t>
  </si>
  <si>
    <t>FastRefreshed</t>
  </si>
  <si>
    <t>FastKey</t>
  </si>
  <si>
    <t>UseFast</t>
  </si>
  <si>
    <t>FastStatus</t>
  </si>
  <si>
    <t>InputValid</t>
  </si>
  <si>
    <t>Five-minute baseline. Followed stocks have an independent one-minute query on FastQuotes. Synthetic data.</t>
  </si>
  <si>
    <t>Watchlist refresh: Follow = Yes uses the one-minute query; No uses five-minute monitoring. Data &gt; Refresh All updates both.</t>
  </si>
  <si>
    <t>Follow flags and notes are saved inputs. Changed membership is pending until the next followed refresh. All-No is valid.</t>
  </si>
  <si>
    <t>One-minute and five-minute intervals are scheduled refreshes while Excel is open, not guaranteed market-data latency.</t>
  </si>
  <si>
    <t>My watchlist</t>
  </si>
  <si>
    <t>Stock / ETF</t>
  </si>
  <si>
    <t>Updated</t>
  </si>
  <si>
    <t>Price observed</t>
  </si>
  <si>
    <t>Quote source</t>
  </si>
  <si>
    <t>Edit the yellow cells: Follow = Yes for one-minute updates. Add your own notes.</t>
  </si>
  <si>
    <t>Refresh now: Data &gt; Refresh All, or Ctrl+Alt+F5. Keep Excel open and the computer awake.</t>
  </si>
  <si>
    <t>Help and stock codes</t>
  </si>
  <si>
    <t>Using this workbook</t>
  </si>
  <si>
    <t>DEMO DATA | All stocks, prices, portfolios and transactions are fictional.</t>
  </si>
  <si>
    <t>I want to...</t>
  </si>
  <si>
    <t>What to do</t>
  </si>
  <si>
    <t>Follow a stock</t>
  </si>
  <si>
    <t>On Watchlist, choose Yes in Follow. Yes updates every minute; No updates every five minutes.</t>
  </si>
  <si>
    <t>Keep a note</t>
  </si>
  <si>
    <t>Type in the yellow Notes cell. Notes stay with the stock when you sort or refresh.</t>
  </si>
  <si>
    <t>Update now</t>
  </si>
  <si>
    <t>Use Data &gt; Refresh All, or Ctrl+Alt+F5. Both schedules run only while desktop Excel is open and the computer is awake.</t>
  </si>
  <si>
    <t>See my holdings</t>
  </si>
  <si>
    <t>Open Holdings. Its portfolio and valuation date come from the yellow selectors on Portfolio.</t>
  </si>
  <si>
    <t>Record a transaction</t>
  </si>
  <si>
    <t>On Transactions, enter completed buys, sells, cash flows, dividends or fees in the yellow columns. Then Refresh All. This never places an order.</t>
  </si>
  <si>
    <t>Choose account or date</t>
  </si>
  <si>
    <t>On Portfolio, change the yellow portfolio and valuation-date selectors. Both Model and Practice are fictional examples.</t>
  </si>
  <si>
    <t>Read a warning</t>
  </si>
  <si>
    <t>Waiting for update means a Follow change is pending. Using 5-min backup means the faster quote is unavailable. Refresh overdue means the last retrieval is old. Try Refresh All.</t>
  </si>
  <si>
    <t>Understand Updated</t>
  </si>
  <si>
    <t>Updated is the last successful retrieval time. The demo price date is shown above Watchlist. Refreshing the fixture does not create a new market price.</t>
  </si>
  <si>
    <t>Read gains and returns</t>
  </si>
  <si>
    <t>Open P&amp;L is the gain/loss on shares still held. TWR removes external cash-flow effects; XIRR reflects their timing and is annualized. Neither is a forecast.</t>
  </si>
  <si>
    <t>Transaction example</t>
  </si>
  <si>
    <t>BUY: new EventID, Date, Model or Practice, stock code, Quantity, Price, Amount = 0, and Fees. Use a unique EventID for each event.</t>
  </si>
  <si>
    <t>Cash example</t>
  </si>
  <si>
    <t>DEPOSIT: Instrument = CASH, Quantity = 0, Price = 0, positive Amount, Fees = 0. Enter any separate charge as a FEE row.</t>
  </si>
  <si>
    <t>Code for Transactions</t>
  </si>
  <si>
    <t>More detail</t>
  </si>
  <si>
    <t>Right-click any sheet tab &gt; Unhide. Performance has detailed returns; Guide has accounting methods. Ledger, Daily, History, Quotes, FastQuotes and Checks retain the workings.</t>
  </si>
  <si>
    <t>Price details</t>
  </si>
  <si>
    <t>If refresh fails</t>
  </si>
  <si>
    <t>Open Data &gt; Queries &amp; Connections to inspect the error. The workbook may retain a previous quote. Overdue messages update when Excel recalculates.</t>
  </si>
  <si>
    <t>Current limits</t>
  </si>
  <si>
    <t>RawStatus</t>
  </si>
  <si>
    <t>Portfolio history</t>
  </si>
  <si>
    <t>DEMO DATA | Choose the yellow portfolio and date fields. All amounts are in INR.</t>
  </si>
  <si>
    <t>Net cash added (INR)</t>
  </si>
  <si>
    <t>Overall gain / loss (INR)</t>
  </si>
  <si>
    <t>Portfolio return (TWR)</t>
  </si>
  <si>
    <t>Annual return (XIRR)</t>
  </si>
  <si>
    <t>Largest decline from peak</t>
  </si>
  <si>
    <t>Change portfolio or date above. Edit transactions on Transactions, then refresh.</t>
  </si>
  <si>
    <t>Returns use the full history through the selected date. See Help for conventions.</t>
  </si>
  <si>
    <t>On Portfolio choose Model or Practice and a valuation date. Charts and calculations update.</t>
  </si>
  <si>
    <t>Changed or removed inputs that do not match the loaded ledger show Refresh required on Portfolio. Failed queries retain last-good data.</t>
  </si>
  <si>
    <t>Increase a BUY fee on Transactions, refresh, and inspect cash, cost basis and returns. Restore it before comparing with baseline results.</t>
  </si>
  <si>
    <t>My holdings</t>
  </si>
  <si>
    <t>Shares</t>
  </si>
  <si>
    <t>% of portfolio</t>
  </si>
  <si>
    <t>Open P&amp;L (INR)</t>
  </si>
  <si>
    <t>Net cash added</t>
  </si>
  <si>
    <t>Open P&amp;L = gain or loss on shares still held. More accounting detail is available by unhiding columns.</t>
  </si>
  <si>
    <t>My transactions</t>
  </si>
  <si>
    <t>Edit yellow cells, then Data &gt; Refresh All. Record completed transactions only; this sheet does not place orders.</t>
  </si>
  <si>
    <t>Need a stock code or a row example? Open Help.</t>
  </si>
  <si>
    <t>Holdings</t>
  </si>
  <si>
    <t>Transactions</t>
  </si>
  <si>
    <t>Help</t>
  </si>
  <si>
    <t>Watchlist</t>
  </si>
  <si>
    <t>Back to Watchlist</t>
  </si>
  <si>
    <t>On Watchlist, type J:K in the Name Box beside the formula bar. Use Home &gt; Format &gt; Hide &amp; Unhide &gt; Unhide Columns for price dates and quote sources. Hidden column A holds stock codes.</t>
  </si>
  <si>
    <t>Trade plan</t>
  </si>
  <si>
    <t>Review stock</t>
  </si>
  <si>
    <t>DEMO DATA. Example plans and prices are fictional. All amounts are in INR.</t>
  </si>
  <si>
    <t>Quantity (whole shares)</t>
  </si>
  <si>
    <t>Cash needed</t>
  </si>
  <si>
    <t>Net reward / risk</t>
  </si>
  <si>
    <t>Planned loss at stop</t>
  </si>
  <si>
    <t>Net gain at target</t>
  </si>
  <si>
    <t>Current demo price</t>
  </si>
  <si>
    <t>Edit yellow cells in your stock row. Choose a stock above to review its calculated plan.</t>
  </si>
  <si>
    <t>1. Set prices and budgets</t>
  </si>
  <si>
    <t>PlanID</t>
  </si>
  <si>
    <t>Entry</t>
  </si>
  <si>
    <t>Stop</t>
  </si>
  <si>
    <t>Target</t>
  </si>
  <si>
    <t>Risk budget</t>
  </si>
  <si>
    <t>Cash budget</t>
  </si>
  <si>
    <t>Reason / notes</t>
  </si>
  <si>
    <t>Review date</t>
  </si>
  <si>
    <t>PLAN-SYN_BANK</t>
  </si>
  <si>
    <t>Sizing example. Replace these levels.</t>
  </si>
  <si>
    <t>PLAN-SYN_TECH</t>
  </si>
  <si>
    <t>PLAN-SYN_HEALTH</t>
  </si>
  <si>
    <t>PLAN-SYN_INDUSTRY</t>
  </si>
  <si>
    <t>PLAN-SYN_BROAD_ETF</t>
  </si>
  <si>
    <t>PLAN-SYN_BOND_ETF</t>
  </si>
  <si>
    <t>Cash budget caps entry cost. Risk budget caps loss at the stop plus estimated entry and exit charges.</t>
  </si>
  <si>
    <t>A stop is a planned exit level. Gaps, slippage and actual charges can make the loss larger.</t>
  </si>
  <si>
    <t>2. Estimate charges per trade (INR)</t>
  </si>
  <si>
    <t>Entry charges</t>
  </si>
  <si>
    <t>Stop exit charges</t>
  </si>
  <si>
    <t>Target exit charges</t>
  </si>
  <si>
    <t>Loss / share</t>
  </si>
  <si>
    <t>Risk after charges</t>
  </si>
  <si>
    <t>Cash after entry fees</t>
  </si>
  <si>
    <t>Input check</t>
  </si>
  <si>
    <t>Enter total estimated charges for each leg. Enter 0 only when you intend to assume no charges.</t>
  </si>
  <si>
    <t>Risk after charges = risk budget less entry and stop exit charges. Charges are user estimates, not a broker tariff.</t>
  </si>
  <si>
    <t>3. Compare calculated plans</t>
  </si>
  <si>
    <t>Loss at stop</t>
  </si>
  <si>
    <t>Net target gain</t>
  </si>
  <si>
    <t>Reward / risk</t>
  </si>
  <si>
    <t>Plan status</t>
  </si>
  <si>
    <t>Cash budget used</t>
  </si>
  <si>
    <t>Plans stay in this workbook when you refresh or save. Editing a row replaces that draft; no plan history is recorded.</t>
  </si>
  <si>
    <t>Record completed trades on Transactions. Planning a trade does not place an order or change your holdings.</t>
  </si>
  <si>
    <t>Stock view</t>
  </si>
  <si>
    <t>Chart range</t>
  </si>
  <si>
    <t>All closes</t>
  </si>
  <si>
    <t>Current quote (INR)</t>
  </si>
  <si>
    <t>21-session price change</t>
  </si>
  <si>
    <t>63-session price change</t>
  </si>
  <si>
    <t>50-session average</t>
  </si>
  <si>
    <t>200-session average</t>
  </si>
  <si>
    <t>63-session closing range</t>
  </si>
  <si>
    <t>Your current draft</t>
  </si>
  <si>
    <t>From entry</t>
  </si>
  <si>
    <t>From stop</t>
  </si>
  <si>
    <t>From target</t>
  </si>
  <si>
    <t>Edit draft levels on Trade plan. Positive distance means the current quote is above that level.</t>
  </si>
  <si>
    <t>Daily data and calculations below. Closes are adjusted for the documented split only; dividends are excluded.</t>
  </si>
  <si>
    <t>Daily history for the selected stock</t>
  </si>
  <si>
    <t>Index</t>
  </si>
  <si>
    <t>Raw close</t>
  </si>
  <si>
    <t>Split divisor</t>
  </si>
  <si>
    <t>Adjusted close</t>
  </si>
  <si>
    <t>Row status</t>
  </si>
  <si>
    <t>Split date</t>
  </si>
  <si>
    <t>New / old shares</t>
  </si>
  <si>
    <t>Synthetic fixture rule</t>
  </si>
  <si>
    <t>Source: synthetic-demo-v1 notes. Technology split 2 for 1 on 22 June 2026. Earlier prices are divided by 2 after the split takes effect.</t>
  </si>
  <si>
    <t>Healthcare pays a fictional dividend on 24 July. This price chart excludes dividend income and is not total return.</t>
  </si>
  <si>
    <t>History capacity: 1,000 rows. Invalid dates, missing prices and excess rows show a warning. No price is silently filled.</t>
  </si>
  <si>
    <t>Review a stock</t>
  </si>
  <si>
    <t>On Stock view, choose a stock and chart range. Daily price changes exclude dividends and adjust the documented split. Draft levels come from Trade plan. The daily data table is below the chart.</t>
  </si>
  <si>
    <t>Headlines</t>
  </si>
  <si>
    <t>Industry</t>
  </si>
  <si>
    <t>All industries</t>
  </si>
  <si>
    <t>Publisher</t>
  </si>
  <si>
    <t>All publishers</t>
  </si>
  <si>
    <t>News mode</t>
  </si>
  <si>
    <t>Demo</t>
  </si>
  <si>
    <t>Refresh: every 30 minutes or Data &gt; Refresh All</t>
  </si>
  <si>
    <t>Page</t>
  </si>
  <si>
    <t>Published (IST)</t>
  </si>
  <si>
    <t>Headline</t>
  </si>
  <si>
    <t>Matched industry</t>
  </si>
  <si>
    <t>Why it appears</t>
  </si>
  <si>
    <t>Article</t>
  </si>
  <si>
    <t>Filters work immediately on cached items. Change feeds or keywords below, then Refresh All. Headlines are ordered newest first.</t>
  </si>
  <si>
    <t>Demo headlines are fictional. Live RSS is a personal reader; keep Demo selected before sharing this workbook.</t>
  </si>
  <si>
    <t>Followed sources</t>
  </si>
  <si>
    <t>Use Yes / No to follow a feed. Up to six source rows.</t>
  </si>
  <si>
    <t>SourceID</t>
  </si>
  <si>
    <t>Feed URL</t>
  </si>
  <si>
    <t>Enabled</t>
  </si>
  <si>
    <t>Latest attempt</t>
  </si>
  <si>
    <t>Items</t>
  </si>
  <si>
    <t>MINT_INDUSTRY</t>
  </si>
  <si>
    <t>Mint</t>
  </si>
  <si>
    <t>https://www.livemint.com/rss/industry</t>
  </si>
  <si>
    <t>MINT_TECH</t>
  </si>
  <si>
    <t>https://www.livemint.com/rss/technology</t>
  </si>
  <si>
    <t>MINT_MARKETS</t>
  </si>
  <si>
    <t>https://www.livemint.com/rss/markets</t>
  </si>
  <si>
    <t>First live use</t>
  </si>
  <si>
    <t>Choose Live RSS above, then Data &gt; Refresh All. If Excel asks, allow this public web source with Anonymous access and Public privacy. Do not disable privacy checks globally.</t>
  </si>
  <si>
    <t>Before sharing</t>
  </si>
  <si>
    <t>Return to Demo and Refresh All; check that the banner says DEMO. Save the file. This removes live headline records from the current query result.</t>
  </si>
  <si>
    <t>Industry matching rules</t>
  </si>
  <si>
    <t>A whole word or phrase in the title matches an industry. Edit these yellow cells.</t>
  </si>
  <si>
    <t>Keyword</t>
  </si>
  <si>
    <t>Banking/Financials</t>
  </si>
  <si>
    <t>bank</t>
  </si>
  <si>
    <t>Matching is transparent, not exhaustive. Several industries may match one headline. Unclassified items remain visible under All industries or Unclassified.</t>
  </si>
  <si>
    <t>banks</t>
  </si>
  <si>
    <t>banking</t>
  </si>
  <si>
    <t>insurance</t>
  </si>
  <si>
    <t>technology</t>
  </si>
  <si>
    <t>Source health distinguishes failed feeds, empty feeds and skipped invalid items. A failed feed contributes no new articles; successful feeds remain available.</t>
  </si>
  <si>
    <t>software</t>
  </si>
  <si>
    <t>AI</t>
  </si>
  <si>
    <t>semiconductor</t>
  </si>
  <si>
    <t>pharma</t>
  </si>
  <si>
    <t>Published is the article time. Refreshed is the last retrieval attempt. Older articles can remain in a current feed; a recent refresh does not make them new.</t>
  </si>
  <si>
    <t>healthcare</t>
  </si>
  <si>
    <t>hospital</t>
  </si>
  <si>
    <t>Auto</t>
  </si>
  <si>
    <t>auto</t>
  </si>
  <si>
    <t>automaker</t>
  </si>
  <si>
    <t>This reader supports public HTTPS RSS 2.0 feeds with title, link and pubDate. Other publishers may use different formats or terms. Test each new feed before relying on it.</t>
  </si>
  <si>
    <t>electric vehicle</t>
  </si>
  <si>
    <t>Energy</t>
  </si>
  <si>
    <t>oil</t>
  </si>
  <si>
    <t>gas</t>
  </si>
  <si>
    <t>renewable</t>
  </si>
  <si>
    <t>No full articles, sentiment scores, trading signals or news archive are collected. Query failure leaves an older cache; the refresh timestamp and overdue warning reveal its age.</t>
  </si>
  <si>
    <t>Consumer</t>
  </si>
  <si>
    <t>retail</t>
  </si>
  <si>
    <t>consumer</t>
  </si>
  <si>
    <t>FMCG</t>
  </si>
  <si>
    <t>steel</t>
  </si>
  <si>
    <t>Mint permits personal, noncommercial headline reading. Live headlines and paid articles are not cleared for portfolio redistribution.</t>
  </si>
  <si>
    <t>manufacturing</t>
  </si>
  <si>
    <t>Markets</t>
  </si>
  <si>
    <t>Nifty</t>
  </si>
  <si>
    <t>Sensex</t>
  </si>
  <si>
    <t>URL</t>
  </si>
  <si>
    <t>PublishedText</t>
  </si>
  <si>
    <t>DEMO: Banks review deposit growth before quarterly results</t>
  </si>
  <si>
    <t>https://example.invalid/demo/banks</t>
  </si>
  <si>
    <t>Fri, 18 Sep 2026 15:20:00 +0530</t>
  </si>
  <si>
    <t>DEMO: Software firm schedules results and product briefing</t>
  </si>
  <si>
    <t>https://example.invalid/demo/software</t>
  </si>
  <si>
    <t>Fri, 18 Sep 2026 14:50:00 +0530</t>
  </si>
  <si>
    <t>DEMO: Pharma manufacturer announces plant review</t>
  </si>
  <si>
    <t>https://example.invalid/demo/pharma</t>
  </si>
  <si>
    <t>Fri, 18 Sep 2026 14:00:00 +0530</t>
  </si>
  <si>
    <t>DEMO: Steel producers discuss manufacturing demand</t>
  </si>
  <si>
    <t>https://example.invalid/demo/steel</t>
  </si>
  <si>
    <t>Fri, 18 Sep 2026 13:30:00 +0530</t>
  </si>
  <si>
    <t>DEMO: ETF volumes rise during the market session</t>
  </si>
  <si>
    <t>https://example.invalid/demo/etf</t>
  </si>
  <si>
    <t>Fri, 18 Sep 2026 13:00:00 +0530</t>
  </si>
  <si>
    <t>DEMO: Automaker outlines electric vehicle launch calendar</t>
  </si>
  <si>
    <t>https://example.invalid/demo/auto</t>
  </si>
  <si>
    <t>Fri, 18 Sep 2026 12:30:00 +0530</t>
  </si>
  <si>
    <t>DEMO: Oil suppliers review renewable investment plans</t>
  </si>
  <si>
    <t>https://example.invalid/demo/energy</t>
  </si>
  <si>
    <t>Fri, 18 Sep 2026 12:00:00 +0530</t>
  </si>
  <si>
    <t>DEMO: Retail chain describes consumer demand trends</t>
  </si>
  <si>
    <t>https://example.invalid/demo/consumer</t>
  </si>
  <si>
    <t>Fri, 18 Sep 2026 11:30:00 +0530</t>
  </si>
  <si>
    <t>DEMO: AI project links technology and healthcare teams</t>
  </si>
  <si>
    <t>https://example.invalid/demo/multiple</t>
  </si>
  <si>
    <t>Fri, 18 Sep 2026 11:00:00 +0530</t>
  </si>
  <si>
    <t>DEMO: Board meeting scheduled for next month</t>
  </si>
  <si>
    <t>https://example.invalid/demo/unclassified</t>
  </si>
  <si>
    <t>Fri, 18 Sep 2026 10:00:00 +0530</t>
  </si>
  <si>
    <t>https://example.invalid/demo/banks?utm_source=second#top</t>
  </si>
  <si>
    <t>Unclassified</t>
  </si>
  <si>
    <t>RowType</t>
  </si>
  <si>
    <t>PublishedAt</t>
  </si>
  <si>
    <t>Industries</t>
  </si>
  <si>
    <t>MatchReason</t>
  </si>
  <si>
    <t>State</t>
  </si>
  <si>
    <t>ItemCount</t>
  </si>
  <si>
    <t>Rejected</t>
  </si>
  <si>
    <t>Mode</t>
  </si>
  <si>
    <t>SettingsKey</t>
  </si>
  <si>
    <t>Meta</t>
  </si>
  <si>
    <t/>
  </si>
  <si>
    <t>Ready</t>
  </si>
  <si>
    <t>Demo||MINT_INDUSTRY~MINT_TECH~MINT_MARKETS~~~||Mint~Mint~Mint~~~||https://www.livemint.com/rss/industry~https://www.livemint.com/rss/technology~https://www.livemint.com/rss/markets~~~||Yes~Yes~Yes~No~No~No||Banking/Financials~Banking/Financials~Banking/Financials~Banking/Financials~Technology~Technology~Technology~Technology~Healthcare~Healthcare~Healthcare~Auto~Auto~Auto~Energy~Energy~Energy~Consumer~Consumer~Consumer~Industrials~Industrials~Markets~Markets~Markets||bank~banks~banking~insurance~technology~software~AI~semiconductor~pharma~healthcare~hospital~auto~automaker~electric vehicle~oil~gas~renewable~retail~consumer~FMCG~steel~manufacturing~Nifty~Sensex~ETF</t>
  </si>
  <si>
    <t>Feed</t>
  </si>
  <si>
    <t>|Banking/Financials|</t>
  </si>
  <si>
    <t>Title: banks</t>
  </si>
  <si>
    <t>|Technology|</t>
  </si>
  <si>
    <t>Title: software</t>
  </si>
  <si>
    <t>|Healthcare|</t>
  </si>
  <si>
    <t>Title: pharma</t>
  </si>
  <si>
    <t>|Industrials|</t>
  </si>
  <si>
    <t>Title: steel, manufacturing</t>
  </si>
  <si>
    <t>|Markets|</t>
  </si>
  <si>
    <t>Title: ETF</t>
  </si>
  <si>
    <t>|Auto|</t>
  </si>
  <si>
    <t>Title: automaker, electric vehicle</t>
  </si>
  <si>
    <t>|Energy|</t>
  </si>
  <si>
    <t>Title: oil, renewable</t>
  </si>
  <si>
    <t>|Consumer|</t>
  </si>
  <si>
    <t>Title: retail, consumer</t>
  </si>
  <si>
    <t>|Healthcare|Technology|</t>
  </si>
  <si>
    <t>Title: technology, AI, healthcare</t>
  </si>
  <si>
    <t>|Unclassified|</t>
  </si>
  <si>
    <t>No keyword match</t>
  </si>
  <si>
    <t>Sources / rules</t>
  </si>
  <si>
    <t>Mint RSS directory and terms</t>
  </si>
  <si>
    <t>DEMO DATA | Prices as at 18 Sep 2026 15:30 IST. Market prices are not connected.</t>
  </si>
  <si>
    <t>DEMO DATA. Fictional stocks and prices. Market prices are not connected. All price amounts are INR.</t>
  </si>
  <si>
    <t>Read industry news</t>
  </si>
  <si>
    <t>On Headlines, choose an industry and publisher. Filters update immediately; use page 1 after narrowing. News mode Demo is fictional. Live RSS uses Mint feeds every 30 minutes. Feed settings and matching rules are below the reader.</t>
  </si>
  <si>
    <t>Six demo instruments and 130 weekdays. News has a separate Demo / Live RSS selector. Original-plan journal and live market prices remain pending.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</si>
</sst>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dd\-mmm\-yy"/>
    <numFmt numFmtId="165" formatCode="#,##0.00;\(#,##0.00\);&quot;-&quot;"/>
    <numFmt numFmtId="166" formatCode="#,##0;\(#,##0\);&quot;-&quot;"/>
    <numFmt numFmtId="167" formatCode="0.0%;\(0.0%\);&quot;-&quot;"/>
    <numFmt numFmtId="168" formatCode="dd\-mmm\ hh:mm"/>
    <numFmt numFmtId="169" formatCode="dd/mmm/yy\ hh:mm:ss"/>
    <numFmt numFmtId="170" formatCode="\+0.00%;\-0.00%;&quot;0.00%&quot;"/>
    <numFmt numFmtId="171" formatCode="0&quot; min&quot;"/>
    <numFmt numFmtId="172" formatCode="dd\ mmm\ hh:mm"/>
    <numFmt numFmtId="173" formatCode="dd\ mmm\ yyyy\ hh:mm"/>
    <numFmt numFmtId="174" formatCode="#,##0.00;[Red]\(#,##0.00\);0.00"/>
    <numFmt numFmtId="175" formatCode="dd\ mmm\ yyyy"/>
    <numFmt numFmtId="176" formatCode="0.00&quot;x&quot;"/>
    <numFmt numFmtId="177" formatCode="0.0%"/>
    <numFmt numFmtId="178" formatCode="\+0.0%;\-0.0%;0.0%"/>
    <numFmt numFmtId="179" formatCode="dd\ mmm\ yyyy\ hh:mm:ss"/>
  </numFmts>
  <fonts count="139" x14ac:knownFonts="1">
    <font>
      <sz val="11"/>
      <name val="Carlito"/>
    </font>
    <font>
      <sz val="10"/>
      <color rgb="FF202A35"/>
      <name val="Arial"/>
    </font>
    <font>
      <b/>
      <sz val="16"/>
      <color rgb="FF213C5A"/>
      <name val="Arial"/>
    </font>
    <font>
      <sz val="10"/>
      <color rgb="FF526171"/>
      <name val="Arial"/>
    </font>
    <font>
      <b/>
      <sz val="10"/>
      <color rgb="FFFFFFFF"/>
      <name val="Arial"/>
    </font>
    <font>
      <sz val="11"/>
      <name val="Arial"/>
    </font>
    <font>
      <sz val="9"/>
      <name val="Carlito"/>
    </font>
    <font>
      <b/>
      <sz val="9"/>
      <color rgb="FFFFFFFF"/>
      <name val="Arial"/>
    </font>
    <font>
      <sz val="8"/>
      <name val="Carlito"/>
    </font>
    <font>
      <sz val="11"/>
      <color rgb="FF202A35"/>
      <name val="Arial"/>
    </font>
    <font>
      <b/>
      <sz val="11"/>
      <color rgb="FFFFFFFF"/>
      <name val="Arial"/>
    </font>
    <font>
      <u/>
      <sz val="11"/>
      <color theme="10"/>
      <name val="Carlito"/>
      <family val="2"/>
    </font>
    <font>
      <sz val="11"/>
      <color rgb="FF172B40"/>
      <name val="Aptos"/>
    </font>
    <font>
      <b/>
      <sz val="21"/>
      <color rgb="FFEEF3F7"/>
      <name val="Aptos"/>
    </font>
    <font>
      <sz val="21"/>
      <color rgb="FFEEF3F7"/>
      <name val="Aptos"/>
    </font>
    <font>
      <u/>
      <sz val="10"/>
      <color rgb="FF6CCAD9"/>
      <name val="Aptos"/>
      <family val="2"/>
    </font>
    <font>
      <sz val="11"/>
      <color rgb="FF6CCAD9"/>
      <name val="Aptos"/>
    </font>
    <font>
      <sz val="11"/>
      <color rgb="FF172B40"/>
      <name val="Aptos"/>
    </font>
    <font>
      <sz val="10"/>
      <color rgb="FF172B40"/>
      <name val="Aptos"/>
    </font>
    <font>
      <b/>
      <sz val="11"/>
      <color rgb="FFFFFFFF"/>
      <name val="Aptos"/>
    </font>
    <font>
      <sz val="11"/>
      <color rgb="FF172B40"/>
      <name val="Aptos"/>
    </font>
    <font>
      <sz val="11"/>
      <color rgb="FF175494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0"/>
      <color rgb="FF172B40"/>
      <name val="Aptos"/>
    </font>
    <font>
      <sz val="11"/>
      <color rgb="FF175494"/>
      <name val="Aptos"/>
    </font>
    <font>
      <sz val="11"/>
      <color rgb="FF172B40"/>
      <name val="Aptos"/>
    </font>
    <font>
      <sz val="11"/>
      <color rgb="FF175494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0"/>
      <color rgb="FF172B40"/>
      <name val="Aptos"/>
    </font>
    <font>
      <sz val="11"/>
      <color rgb="FF175494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0"/>
      <color rgb="FF172B40"/>
      <name val="Aptos"/>
    </font>
    <font>
      <sz val="11"/>
      <color rgb="FF172B40"/>
      <name val="Aptos"/>
    </font>
    <font>
      <sz val="11"/>
      <color rgb="FF175494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1"/>
      <color rgb="FF172B40"/>
      <name val="Aptos"/>
    </font>
    <font>
      <sz val="10"/>
      <color rgb="FF172B40"/>
      <name val="Aptos"/>
    </font>
    <font>
      <sz val="11"/>
      <color rgb="FF175494"/>
      <name val="Aptos"/>
    </font>
    <font>
      <b/>
      <sz val="11"/>
      <color rgb="FF172B40"/>
      <name val="Aptos"/>
    </font>
    <font>
      <u/>
      <sz val="10"/>
      <color rgb="FF175494"/>
      <name val="Aptos"/>
      <family val="2"/>
    </font>
    <font>
      <sz val="10"/>
      <color rgb="FF172B40"/>
      <name val="Aptos"/>
    </font>
    <font>
      <b/>
      <sz val="21"/>
      <color rgb="FFEEF3F7"/>
      <name val="Aptos"/>
      <family val="2"/>
    </font>
    <font>
      <sz val="21"/>
      <color rgb="FFEEF3F7"/>
      <name val="Aptos"/>
    </font>
    <font>
      <u/>
      <sz val="10"/>
      <color rgb="FF6CCAD9"/>
      <name val="Aptos"/>
      <family val="2"/>
    </font>
    <font>
      <sz val="10"/>
      <color rgb="FF6CCAD9"/>
      <name val="Aptos"/>
    </font>
    <font>
      <b/>
      <sz val="11"/>
      <color rgb="FFFFFFFF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1"/>
      <color rgb="FF172B40"/>
      <name val="Aptos"/>
      <family val="2"/>
    </font>
    <font>
      <sz val="10"/>
      <color rgb="FF172B40"/>
      <name val="Aptos"/>
    </font>
    <font>
      <sz val="10"/>
      <color rgb="FF172B40"/>
      <name val="Aptos"/>
    </font>
    <font>
      <b/>
      <sz val="21"/>
      <color rgb="FFEEF3F7"/>
      <name val="Aptos"/>
    </font>
    <font>
      <sz val="11"/>
      <color rgb="FF6CCAD9"/>
      <name val="Aptos"/>
    </font>
    <font>
      <sz val="10"/>
      <color rgb="FF172B40"/>
      <name val="Aptos"/>
    </font>
    <font>
      <sz val="10"/>
      <color rgb="FF172B40"/>
      <name val="Aptos"/>
      <family val="2"/>
    </font>
    <font>
      <b/>
      <sz val="10"/>
      <color rgb="FFFFFFFF"/>
      <name val="Aptos"/>
      <family val="2"/>
    </font>
    <font>
      <b/>
      <sz val="10"/>
      <color rgb="FFFFFFFF"/>
      <name val="Aptos"/>
      <family val="2"/>
    </font>
    <font>
      <sz val="10"/>
      <color rgb="FF175494"/>
      <name val="Aptos"/>
      <family val="2"/>
    </font>
    <font>
      <sz val="10"/>
      <color rgb="FF175494"/>
      <name val="Aptos"/>
      <family val="2"/>
    </font>
    <font>
      <sz val="10"/>
      <color rgb="FF175494"/>
      <name val="Aptos"/>
      <family val="2"/>
    </font>
    <font>
      <sz val="10"/>
      <color rgb="FF175494"/>
      <name val="Aptos"/>
      <family val="2"/>
    </font>
    <font>
      <sz val="11"/>
      <color rgb="FF172B40"/>
      <name val="Aptos"/>
      <family val="2"/>
    </font>
    <font>
      <sz val="10"/>
      <color rgb="FF172B40"/>
      <name val="Aptos"/>
    </font>
    <font>
      <sz val="11"/>
      <color rgb="FF172B40"/>
      <name val="Aptos"/>
      <family val="2"/>
    </font>
    <font>
      <sz val="21"/>
      <color rgb="FFEEF3F7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b/>
      <sz val="15"/>
      <color rgb="FF172B40"/>
      <name val="Aptos"/>
    </font>
    <font>
      <b/>
      <sz val="15"/>
      <color rgb="FF172B40"/>
      <name val="Aptos"/>
    </font>
    <font>
      <b/>
      <sz val="10"/>
      <color rgb="FFFFFFFF"/>
      <name val="Aptos"/>
    </font>
    <font>
      <sz val="10"/>
      <color rgb="FFFFFFFF"/>
      <name val="Aptos"/>
    </font>
    <font>
      <sz val="10"/>
      <color rgb="FFFFFFFF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sz val="10"/>
      <color rgb="FF172B40"/>
      <name val="Aptos"/>
    </font>
    <font>
      <sz val="11"/>
      <color rgb="FF172B40"/>
      <name val="Aptos"/>
    </font>
    <font>
      <b/>
      <sz val="11"/>
      <color rgb="FFFFFFFF"/>
      <name val="Aptos"/>
    </font>
    <font>
      <b/>
      <sz val="11"/>
      <color rgb="FF172B40"/>
      <name val="Aptos"/>
    </font>
    <font>
      <sz val="11"/>
      <color rgb="FF172B40"/>
      <name val="Aptos"/>
    </font>
    <font>
      <b/>
      <sz val="11"/>
      <color rgb="FF172B40"/>
      <name val="Aptos"/>
    </font>
    <font>
      <sz val="11"/>
      <color rgb="FF172B40"/>
      <name val="Aptos"/>
    </font>
    <font>
      <b/>
      <sz val="11"/>
      <color rgb="FF172B40"/>
      <name val="Aptos"/>
    </font>
    <font>
      <sz val="11"/>
      <color rgb="FF172B40"/>
      <name val="Aptos"/>
    </font>
    <font>
      <sz val="11"/>
      <color rgb="FF243746"/>
      <name val="Aptos"/>
    </font>
    <font>
      <b/>
      <sz val="19"/>
      <color rgb="FFEEF3F7"/>
      <name val="Aptos Display"/>
    </font>
    <font>
      <sz val="10"/>
      <color rgb="FF526174"/>
      <name val="Aptos"/>
    </font>
    <font>
      <b/>
      <sz val="11"/>
      <color rgb="FF526174"/>
      <name val="Aptos"/>
    </font>
    <font>
      <b/>
      <sz val="22"/>
      <color rgb="FF243746"/>
      <name val="Aptos"/>
    </font>
    <font>
      <b/>
      <sz val="11"/>
      <color rgb="FF243746"/>
      <name val="Aptos"/>
    </font>
    <font>
      <sz val="10"/>
      <color rgb="FF243746"/>
      <name val="Aptos"/>
      <family val="2"/>
    </font>
    <font>
      <u/>
      <sz val="10"/>
      <color rgb="FF6CCAD9"/>
      <name val="Carlito"/>
      <family val="2"/>
    </font>
    <font>
      <b/>
      <sz val="11"/>
      <color rgb="FF172B40"/>
      <name val="Aptos"/>
      <family val="2"/>
    </font>
    <font>
      <b/>
      <sz val="21"/>
      <color rgb="FF243746"/>
      <name val="Aptos"/>
    </font>
    <font>
      <b/>
      <sz val="16"/>
      <color rgb="FF243746"/>
      <name val="Aptos"/>
      <family val="2"/>
    </font>
    <font>
      <b/>
      <sz val="20"/>
      <color rgb="FFEEF3F7"/>
      <name val="Aptos Display"/>
    </font>
    <font>
      <b/>
      <sz val="14"/>
      <color rgb="FF243746"/>
      <name val="Aptos"/>
    </font>
    <font>
      <sz val="11"/>
      <color rgb="FF243746"/>
      <name val="Aptos"/>
      <family val="2"/>
    </font>
    <font>
      <sz val="11"/>
      <color rgb="FF526174"/>
      <name val="Aptos"/>
      <family val="2"/>
    </font>
    <font>
      <sz val="8"/>
      <name val="Carlito"/>
      <family val="2"/>
    </font>
    <font>
      <sz val="11"/>
      <color rgb="FF175494"/>
      <name val="Aptos"/>
      <family val="2"/>
    </font>
    <font>
      <u/>
      <sz val="11"/>
      <color rgb="FF175494"/>
      <name val="Carlito"/>
      <family val="2"/>
    </font>
  </fonts>
  <fills count="13">
    <fill>
      <patternFill patternType="none"/>
    </fill>
    <fill>
      <patternFill patternType="gray125"/>
    </fill>
    <fill>
      <patternFill patternType="solid">
        <fgColor rgb="FF213C5A"/>
      </patternFill>
    </fill>
    <fill>
      <patternFill patternType="solid">
        <fgColor rgb="FFFFF3CD"/>
      </patternFill>
    </fill>
    <fill>
      <patternFill patternType="solid">
        <fgColor rgb="FF213C5A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01D2B"/>
      </patternFill>
    </fill>
    <fill>
      <patternFill patternType="solid">
        <fgColor rgb="FF193B47"/>
      </patternFill>
    </fill>
    <fill>
      <patternFill patternType="solid">
        <fgColor rgb="FFF0F5F7"/>
      </patternFill>
    </fill>
    <fill>
      <patternFill patternType="solid">
        <fgColor rgb="FFEFF5F7"/>
      </patternFill>
    </fill>
    <fill>
      <patternFill patternType="solid">
        <fgColor rgb="FF193D49"/>
      </patternFill>
    </fill>
    <fill>
      <patternFill patternType="solid">
        <fgColor rgb="FFEFF5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213C5A"/>
      </bottom>
      <diagonal/>
    </border>
    <border>
      <left/>
      <right/>
      <top/>
      <bottom style="thin">
        <color rgb="FFD9E1E9"/>
      </bottom>
      <diagonal/>
    </border>
    <border>
      <left/>
      <right/>
      <top/>
      <bottom style="hair">
        <color rgb="FFD9E1E9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 style="hair">
        <color rgb="FFD9E1E9"/>
      </bottom>
      <diagonal/>
    </border>
    <border>
      <left/>
      <right/>
      <top style="thin">
        <color rgb="FFE2E8F0"/>
      </top>
      <bottom/>
      <diagonal/>
    </border>
    <border>
      <left/>
      <right/>
      <top/>
      <bottom style="hair">
        <color rgb="FFD9E3EA"/>
      </bottom>
      <diagonal/>
    </border>
    <border>
      <left/>
      <right/>
      <top style="hair">
        <color rgb="FFD9E3EA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2" borderId="0" xfId="0" applyFont="1" applyFill="1" applyAlignment="1">
      <alignment horizontal="center" wrapText="1"/>
    </xf>
    <xf numFmtId="167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7" fontId="0" fillId="0" borderId="0" xfId="0" applyNumberFormat="1"/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2" borderId="0" xfId="0" applyFont="1" applyFill="1" applyAlignment="1">
      <alignment horizontal="center" wrapText="1"/>
    </xf>
    <xf numFmtId="167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vertical="center"/>
    </xf>
    <xf numFmtId="15" fontId="0" fillId="0" borderId="0" xfId="0" applyNumberFormat="1"/>
    <xf numFmtId="165" fontId="0" fillId="0" borderId="0" xfId="0" applyNumberFormat="1"/>
    <xf numFmtId="16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73" fontId="9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173" fontId="9" fillId="0" borderId="3" xfId="0" applyNumberFormat="1" applyFont="1" applyBorder="1" applyAlignment="1">
      <alignment vertical="center"/>
    </xf>
    <xf numFmtId="0" fontId="10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5" fillId="7" borderId="0" xfId="1" applyFont="1" applyFill="1" applyAlignment="1">
      <alignment vertical="center"/>
    </xf>
    <xf numFmtId="0" fontId="16" fillId="7" borderId="0" xfId="0" applyFont="1" applyFill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8" borderId="0" xfId="0" applyFont="1" applyFill="1" applyAlignment="1">
      <alignment horizontal="center" vertical="center" wrapText="1"/>
    </xf>
    <xf numFmtId="0" fontId="20" fillId="9" borderId="4" xfId="0" applyFont="1" applyFill="1" applyBorder="1" applyAlignment="1">
      <alignment vertical="center"/>
    </xf>
    <xf numFmtId="0" fontId="21" fillId="5" borderId="4" xfId="0" applyFont="1" applyFill="1" applyBorder="1" applyAlignment="1">
      <alignment horizontal="center" vertical="center"/>
    </xf>
    <xf numFmtId="4" fontId="22" fillId="9" borderId="4" xfId="0" applyNumberFormat="1" applyFont="1" applyFill="1" applyBorder="1" applyAlignment="1">
      <alignment horizontal="right" vertical="center"/>
    </xf>
    <xf numFmtId="170" fontId="23" fillId="9" borderId="4" xfId="0" applyNumberFormat="1" applyFont="1" applyFill="1" applyBorder="1" applyAlignment="1">
      <alignment horizontal="right" vertical="center"/>
    </xf>
    <xf numFmtId="171" fontId="24" fillId="9" borderId="4" xfId="0" applyNumberFormat="1" applyFont="1" applyFill="1" applyBorder="1" applyAlignment="1">
      <alignment horizontal="center" vertical="center"/>
    </xf>
    <xf numFmtId="172" fontId="25" fillId="9" borderId="4" xfId="0" applyNumberFormat="1" applyFont="1" applyFill="1" applyBorder="1" applyAlignment="1">
      <alignment vertical="center"/>
    </xf>
    <xf numFmtId="0" fontId="26" fillId="9" borderId="4" xfId="0" applyFont="1" applyFill="1" applyBorder="1" applyAlignment="1">
      <alignment horizontal="left" vertical="center" wrapText="1" indent="1"/>
    </xf>
    <xf numFmtId="0" fontId="27" fillId="5" borderId="4" xfId="0" applyFont="1" applyFill="1" applyBorder="1" applyAlignment="1">
      <alignment vertical="center" wrapText="1"/>
    </xf>
    <xf numFmtId="0" fontId="28" fillId="0" borderId="5" xfId="0" applyFont="1" applyBorder="1" applyAlignment="1">
      <alignment vertical="center"/>
    </xf>
    <xf numFmtId="0" fontId="29" fillId="5" borderId="5" xfId="0" applyFont="1" applyFill="1" applyBorder="1" applyAlignment="1">
      <alignment horizontal="center" vertical="center"/>
    </xf>
    <xf numFmtId="4" fontId="30" fillId="0" borderId="5" xfId="0" applyNumberFormat="1" applyFont="1" applyBorder="1" applyAlignment="1">
      <alignment horizontal="right" vertical="center"/>
    </xf>
    <xf numFmtId="170" fontId="31" fillId="0" borderId="5" xfId="0" applyNumberFormat="1" applyFont="1" applyBorder="1" applyAlignment="1">
      <alignment horizontal="right" vertical="center"/>
    </xf>
    <xf numFmtId="171" fontId="32" fillId="0" borderId="5" xfId="0" applyNumberFormat="1" applyFont="1" applyBorder="1" applyAlignment="1">
      <alignment horizontal="center" vertical="center"/>
    </xf>
    <xf numFmtId="172" fontId="33" fillId="0" borderId="5" xfId="0" applyNumberFormat="1" applyFont="1" applyBorder="1" applyAlignment="1">
      <alignment vertical="center"/>
    </xf>
    <xf numFmtId="0" fontId="34" fillId="0" borderId="5" xfId="0" applyFont="1" applyBorder="1" applyAlignment="1">
      <alignment horizontal="left" vertical="center" wrapText="1" indent="1"/>
    </xf>
    <xf numFmtId="0" fontId="35" fillId="5" borderId="5" xfId="0" applyFont="1" applyFill="1" applyBorder="1" applyAlignment="1">
      <alignment vertical="center" wrapText="1"/>
    </xf>
    <xf numFmtId="0" fontId="36" fillId="9" borderId="5" xfId="0" applyFont="1" applyFill="1" applyBorder="1" applyAlignment="1">
      <alignment vertical="center"/>
    </xf>
    <xf numFmtId="4" fontId="37" fillId="9" borderId="5" xfId="0" applyNumberFormat="1" applyFont="1" applyFill="1" applyBorder="1" applyAlignment="1">
      <alignment horizontal="right" vertical="center"/>
    </xf>
    <xf numFmtId="170" fontId="38" fillId="9" borderId="5" xfId="0" applyNumberFormat="1" applyFont="1" applyFill="1" applyBorder="1" applyAlignment="1">
      <alignment horizontal="right" vertical="center"/>
    </xf>
    <xf numFmtId="171" fontId="39" fillId="9" borderId="5" xfId="0" applyNumberFormat="1" applyFont="1" applyFill="1" applyBorder="1" applyAlignment="1">
      <alignment horizontal="center" vertical="center"/>
    </xf>
    <xf numFmtId="172" fontId="40" fillId="9" borderId="5" xfId="0" applyNumberFormat="1" applyFont="1" applyFill="1" applyBorder="1" applyAlignment="1">
      <alignment vertical="center"/>
    </xf>
    <xf numFmtId="0" fontId="41" fillId="9" borderId="5" xfId="0" applyFont="1" applyFill="1" applyBorder="1" applyAlignment="1">
      <alignment horizontal="left" vertical="center" wrapText="1" indent="1"/>
    </xf>
    <xf numFmtId="0" fontId="42" fillId="0" borderId="6" xfId="0" applyFont="1" applyBorder="1" applyAlignment="1">
      <alignment vertical="center"/>
    </xf>
    <xf numFmtId="0" fontId="43" fillId="5" borderId="6" xfId="0" applyFont="1" applyFill="1" applyBorder="1" applyAlignment="1">
      <alignment horizontal="center" vertical="center"/>
    </xf>
    <xf numFmtId="4" fontId="44" fillId="0" borderId="6" xfId="0" applyNumberFormat="1" applyFont="1" applyBorder="1" applyAlignment="1">
      <alignment horizontal="right" vertical="center"/>
    </xf>
    <xf numFmtId="170" fontId="45" fillId="0" borderId="6" xfId="0" applyNumberFormat="1" applyFont="1" applyBorder="1" applyAlignment="1">
      <alignment horizontal="right" vertical="center"/>
    </xf>
    <xf numFmtId="171" fontId="46" fillId="0" borderId="6" xfId="0" applyNumberFormat="1" applyFont="1" applyBorder="1" applyAlignment="1">
      <alignment horizontal="center" vertical="center"/>
    </xf>
    <xf numFmtId="172" fontId="47" fillId="0" borderId="6" xfId="0" applyNumberFormat="1" applyFont="1" applyBorder="1" applyAlignment="1">
      <alignment vertical="center"/>
    </xf>
    <xf numFmtId="0" fontId="48" fillId="0" borderId="6" xfId="0" applyFont="1" applyBorder="1" applyAlignment="1">
      <alignment horizontal="left" vertical="center" wrapText="1" indent="1"/>
    </xf>
    <xf numFmtId="0" fontId="49" fillId="5" borderId="6" xfId="0" applyFont="1" applyFill="1" applyBorder="1" applyAlignment="1">
      <alignment vertical="center" wrapText="1"/>
    </xf>
    <xf numFmtId="0" fontId="50" fillId="0" borderId="0" xfId="0" applyFont="1" applyAlignment="1">
      <alignment vertical="center"/>
    </xf>
    <xf numFmtId="0" fontId="51" fillId="0" borderId="0" xfId="1" applyFont="1" applyAlignment="1">
      <alignment vertical="center"/>
    </xf>
    <xf numFmtId="0" fontId="52" fillId="0" borderId="0" xfId="0" applyFont="1" applyAlignment="1">
      <alignment vertical="center"/>
    </xf>
    <xf numFmtId="0" fontId="55" fillId="7" borderId="1" xfId="1" applyFont="1" applyFill="1" applyBorder="1" applyAlignment="1">
      <alignment vertical="center"/>
    </xf>
    <xf numFmtId="0" fontId="56" fillId="7" borderId="1" xfId="0" applyFont="1" applyFill="1" applyBorder="1" applyAlignment="1">
      <alignment vertical="center"/>
    </xf>
    <xf numFmtId="0" fontId="57" fillId="8" borderId="0" xfId="0" applyFont="1" applyFill="1" applyAlignment="1">
      <alignment horizontal="center" vertical="center" wrapText="1"/>
    </xf>
    <xf numFmtId="0" fontId="58" fillId="0" borderId="4" xfId="0" applyFont="1" applyBorder="1" applyAlignment="1">
      <alignment vertical="center"/>
    </xf>
    <xf numFmtId="4" fontId="59" fillId="0" borderId="4" xfId="0" applyNumberFormat="1" applyFont="1" applyBorder="1" applyAlignment="1">
      <alignment vertical="center"/>
    </xf>
    <xf numFmtId="164" fontId="60" fillId="0" borderId="4" xfId="0" applyNumberFormat="1" applyFont="1" applyBorder="1" applyAlignment="1">
      <alignment vertical="center"/>
    </xf>
    <xf numFmtId="165" fontId="61" fillId="0" borderId="4" xfId="0" applyNumberFormat="1" applyFont="1" applyBorder="1" applyAlignment="1">
      <alignment vertical="center"/>
    </xf>
    <xf numFmtId="167" fontId="62" fillId="0" borderId="4" xfId="0" applyNumberFormat="1" applyFont="1" applyBorder="1" applyAlignment="1">
      <alignment vertical="center"/>
    </xf>
    <xf numFmtId="0" fontId="63" fillId="0" borderId="4" xfId="0" applyFont="1" applyBorder="1" applyAlignment="1">
      <alignment horizontal="center" vertical="center"/>
    </xf>
    <xf numFmtId="0" fontId="64" fillId="9" borderId="5" xfId="0" applyFont="1" applyFill="1" applyBorder="1" applyAlignment="1">
      <alignment vertical="center"/>
    </xf>
    <xf numFmtId="4" fontId="65" fillId="9" borderId="5" xfId="0" applyNumberFormat="1" applyFont="1" applyFill="1" applyBorder="1" applyAlignment="1">
      <alignment vertical="center"/>
    </xf>
    <xf numFmtId="164" fontId="66" fillId="9" borderId="5" xfId="0" applyNumberFormat="1" applyFont="1" applyFill="1" applyBorder="1" applyAlignment="1">
      <alignment vertical="center"/>
    </xf>
    <xf numFmtId="165" fontId="67" fillId="9" borderId="5" xfId="0" applyNumberFormat="1" applyFont="1" applyFill="1" applyBorder="1" applyAlignment="1">
      <alignment vertical="center"/>
    </xf>
    <xf numFmtId="167" fontId="68" fillId="9" borderId="5" xfId="0" applyNumberFormat="1" applyFont="1" applyFill="1" applyBorder="1" applyAlignment="1">
      <alignment vertical="center"/>
    </xf>
    <xf numFmtId="0" fontId="69" fillId="9" borderId="5" xfId="0" applyFont="1" applyFill="1" applyBorder="1" applyAlignment="1">
      <alignment horizontal="center" vertical="center"/>
    </xf>
    <xf numFmtId="0" fontId="70" fillId="0" borderId="5" xfId="0" applyFont="1" applyBorder="1" applyAlignment="1">
      <alignment vertical="center"/>
    </xf>
    <xf numFmtId="4" fontId="71" fillId="0" borderId="5" xfId="0" applyNumberFormat="1" applyFont="1" applyBorder="1" applyAlignment="1">
      <alignment vertical="center"/>
    </xf>
    <xf numFmtId="164" fontId="72" fillId="0" borderId="5" xfId="0" applyNumberFormat="1" applyFont="1" applyBorder="1" applyAlignment="1">
      <alignment vertical="center"/>
    </xf>
    <xf numFmtId="165" fontId="73" fillId="0" borderId="5" xfId="0" applyNumberFormat="1" applyFont="1" applyBorder="1" applyAlignment="1">
      <alignment vertical="center"/>
    </xf>
    <xf numFmtId="167" fontId="74" fillId="0" borderId="5" xfId="0" applyNumberFormat="1" applyFont="1" applyBorder="1" applyAlignment="1">
      <alignment vertical="center"/>
    </xf>
    <xf numFmtId="0" fontId="75" fillId="0" borderId="5" xfId="0" applyFont="1" applyBorder="1" applyAlignment="1">
      <alignment horizontal="center" vertical="center"/>
    </xf>
    <xf numFmtId="0" fontId="76" fillId="9" borderId="7" xfId="0" applyFont="1" applyFill="1" applyBorder="1" applyAlignment="1">
      <alignment vertical="center"/>
    </xf>
    <xf numFmtId="4" fontId="77" fillId="9" borderId="7" xfId="0" applyNumberFormat="1" applyFont="1" applyFill="1" applyBorder="1" applyAlignment="1">
      <alignment vertical="center"/>
    </xf>
    <xf numFmtId="164" fontId="78" fillId="9" borderId="7" xfId="0" applyNumberFormat="1" applyFont="1" applyFill="1" applyBorder="1" applyAlignment="1">
      <alignment vertical="center"/>
    </xf>
    <xf numFmtId="165" fontId="79" fillId="9" borderId="7" xfId="0" applyNumberFormat="1" applyFont="1" applyFill="1" applyBorder="1" applyAlignment="1">
      <alignment vertical="center"/>
    </xf>
    <xf numFmtId="167" fontId="80" fillId="9" borderId="7" xfId="0" applyNumberFormat="1" applyFont="1" applyFill="1" applyBorder="1" applyAlignment="1">
      <alignment vertical="center"/>
    </xf>
    <xf numFmtId="0" fontId="81" fillId="9" borderId="7" xfId="0" applyFont="1" applyFill="1" applyBorder="1" applyAlignment="1">
      <alignment horizontal="center" vertical="center"/>
    </xf>
    <xf numFmtId="165" fontId="82" fillId="0" borderId="0" xfId="0" applyNumberFormat="1" applyFont="1" applyAlignment="1">
      <alignment vertical="center"/>
    </xf>
    <xf numFmtId="164" fontId="83" fillId="0" borderId="0" xfId="0" applyNumberFormat="1" applyFont="1" applyAlignment="1">
      <alignment vertical="center"/>
    </xf>
    <xf numFmtId="0" fontId="85" fillId="7" borderId="1" xfId="0" applyFont="1" applyFill="1" applyBorder="1"/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8" borderId="0" xfId="0" applyFont="1" applyFill="1" applyAlignment="1">
      <alignment horizontal="center" vertical="center" wrapText="1"/>
    </xf>
    <xf numFmtId="0" fontId="89" fillId="8" borderId="0" xfId="0" applyFont="1" applyFill="1" applyAlignment="1">
      <alignment horizontal="center" wrapText="1"/>
    </xf>
    <xf numFmtId="0" fontId="90" fillId="5" borderId="0" xfId="0" applyFont="1" applyFill="1" applyAlignment="1">
      <alignment vertical="center"/>
    </xf>
    <xf numFmtId="164" fontId="91" fillId="5" borderId="0" xfId="0" applyNumberFormat="1" applyFont="1" applyFill="1" applyAlignment="1">
      <alignment vertical="center"/>
    </xf>
    <xf numFmtId="0" fontId="92" fillId="5" borderId="0" xfId="0" applyFont="1" applyFill="1" applyAlignment="1">
      <alignment horizontal="left" vertical="center" indent="1"/>
    </xf>
    <xf numFmtId="165" fontId="93" fillId="5" borderId="0" xfId="0" applyNumberFormat="1" applyFont="1" applyFill="1" applyAlignment="1">
      <alignment vertical="center"/>
    </xf>
    <xf numFmtId="0" fontId="94" fillId="6" borderId="0" xfId="0" applyFont="1" applyFill="1" applyAlignment="1">
      <alignment horizontal="left" indent="1"/>
    </xf>
    <xf numFmtId="0" fontId="95" fillId="9" borderId="0" xfId="0" applyFont="1" applyFill="1" applyAlignment="1">
      <alignment vertical="center"/>
    </xf>
    <xf numFmtId="0" fontId="96" fillId="9" borderId="0" xfId="0" applyFont="1" applyFill="1" applyAlignment="1">
      <alignment horizontal="left" indent="1"/>
    </xf>
    <xf numFmtId="0" fontId="98" fillId="3" borderId="0" xfId="0" applyFont="1" applyFill="1" applyAlignment="1">
      <alignment vertical="center"/>
    </xf>
    <xf numFmtId="164" fontId="99" fillId="3" borderId="0" xfId="0" applyNumberFormat="1" applyFont="1" applyFill="1" applyAlignment="1">
      <alignment vertical="center"/>
    </xf>
    <xf numFmtId="0" fontId="100" fillId="0" borderId="0" xfId="0" applyFont="1" applyAlignment="1">
      <alignment vertical="center" wrapText="1"/>
    </xf>
    <xf numFmtId="166" fontId="101" fillId="0" borderId="0" xfId="0" applyNumberFormat="1" applyFont="1" applyAlignment="1">
      <alignment vertical="center"/>
    </xf>
    <xf numFmtId="167" fontId="102" fillId="0" borderId="0" xfId="0" applyNumberFormat="1" applyFont="1" applyAlignment="1">
      <alignment vertical="center"/>
    </xf>
    <xf numFmtId="0" fontId="103" fillId="8" borderId="0" xfId="0" applyFont="1" applyFill="1" applyAlignment="1">
      <alignment horizontal="center" vertical="center" wrapText="1"/>
    </xf>
    <xf numFmtId="0" fontId="104" fillId="8" borderId="0" xfId="0" applyFont="1" applyFill="1" applyAlignment="1">
      <alignment vertical="center"/>
    </xf>
    <xf numFmtId="168" fontId="105" fillId="8" borderId="0" xfId="0" applyNumberFormat="1" applyFont="1" applyFill="1" applyAlignment="1">
      <alignment vertical="center"/>
    </xf>
    <xf numFmtId="166" fontId="106" fillId="0" borderId="0" xfId="0" applyNumberFormat="1" applyFont="1" applyAlignment="1">
      <alignment vertical="center"/>
    </xf>
    <xf numFmtId="167" fontId="107" fillId="0" borderId="0" xfId="0" applyNumberFormat="1" applyFont="1" applyAlignment="1">
      <alignment vertical="center"/>
    </xf>
    <xf numFmtId="168" fontId="108" fillId="0" borderId="0" xfId="0" applyNumberFormat="1" applyFont="1" applyAlignment="1">
      <alignment vertical="center"/>
    </xf>
    <xf numFmtId="166" fontId="109" fillId="9" borderId="0" xfId="0" applyNumberFormat="1" applyFont="1" applyFill="1" applyAlignment="1">
      <alignment vertical="center"/>
    </xf>
    <xf numFmtId="165" fontId="110" fillId="9" borderId="0" xfId="0" applyNumberFormat="1" applyFont="1" applyFill="1" applyAlignment="1">
      <alignment vertical="center"/>
    </xf>
    <xf numFmtId="167" fontId="111" fillId="9" borderId="0" xfId="0" applyNumberFormat="1" applyFont="1" applyFill="1" applyAlignment="1">
      <alignment vertical="center"/>
    </xf>
    <xf numFmtId="168" fontId="112" fillId="9" borderId="0" xfId="0" applyNumberFormat="1" applyFont="1" applyFill="1" applyAlignment="1">
      <alignment vertical="center"/>
    </xf>
    <xf numFmtId="0" fontId="113" fillId="0" borderId="0" xfId="0" applyFont="1"/>
    <xf numFmtId="0" fontId="114" fillId="8" borderId="0" xfId="0" applyFont="1" applyFill="1" applyAlignment="1">
      <alignment vertical="center"/>
    </xf>
    <xf numFmtId="0" fontId="115" fillId="9" borderId="0" xfId="0" applyFont="1" applyFill="1" applyAlignment="1">
      <alignment vertical="center" wrapText="1"/>
    </xf>
    <xf numFmtId="0" fontId="116" fillId="9" borderId="0" xfId="0" applyFont="1" applyFill="1" applyAlignment="1">
      <alignment vertical="center" wrapText="1"/>
    </xf>
    <xf numFmtId="0" fontId="117" fillId="0" borderId="0" xfId="0" applyFont="1" applyAlignment="1">
      <alignment vertical="center" wrapText="1"/>
    </xf>
    <xf numFmtId="0" fontId="118" fillId="0" borderId="0" xfId="0" applyFont="1" applyAlignment="1">
      <alignment vertical="center" wrapText="1"/>
    </xf>
    <xf numFmtId="0" fontId="119" fillId="9" borderId="3" xfId="0" applyFont="1" applyFill="1" applyBorder="1" applyAlignment="1">
      <alignment vertical="center" wrapText="1"/>
    </xf>
    <xf numFmtId="0" fontId="120" fillId="9" borderId="3" xfId="0" applyFont="1" applyFill="1" applyBorder="1" applyAlignment="1">
      <alignment vertical="center" wrapText="1"/>
    </xf>
    <xf numFmtId="0" fontId="121" fillId="0" borderId="0" xfId="0" applyFont="1" applyAlignment="1">
      <alignment vertical="center"/>
    </xf>
    <xf numFmtId="0" fontId="121" fillId="7" borderId="0" xfId="0" applyFont="1" applyFill="1" applyAlignment="1">
      <alignment vertical="center"/>
    </xf>
    <xf numFmtId="0" fontId="122" fillId="7" borderId="0" xfId="0" applyFont="1" applyFill="1" applyAlignment="1">
      <alignment vertical="center"/>
    </xf>
    <xf numFmtId="0" fontId="124" fillId="0" borderId="0" xfId="0" applyFont="1" applyAlignment="1">
      <alignment vertical="center"/>
    </xf>
    <xf numFmtId="0" fontId="126" fillId="0" borderId="0" xfId="0" applyFont="1" applyAlignment="1">
      <alignment vertical="center"/>
    </xf>
    <xf numFmtId="0" fontId="19" fillId="11" borderId="0" xfId="0" applyFont="1" applyFill="1" applyAlignment="1">
      <alignment vertical="center" wrapText="1"/>
    </xf>
    <xf numFmtId="174" fontId="21" fillId="3" borderId="0" xfId="0" applyNumberFormat="1" applyFont="1" applyFill="1" applyAlignment="1">
      <alignment vertical="center" wrapText="1"/>
    </xf>
    <xf numFmtId="0" fontId="21" fillId="3" borderId="0" xfId="0" applyFont="1" applyFill="1" applyAlignment="1">
      <alignment vertical="center" wrapText="1"/>
    </xf>
    <xf numFmtId="175" fontId="21" fillId="3" borderId="0" xfId="0" applyNumberFormat="1" applyFont="1" applyFill="1" applyAlignment="1">
      <alignment vertical="center" wrapText="1"/>
    </xf>
    <xf numFmtId="0" fontId="121" fillId="0" borderId="8" xfId="0" applyFont="1" applyBorder="1" applyAlignment="1">
      <alignment vertical="center"/>
    </xf>
    <xf numFmtId="174" fontId="21" fillId="3" borderId="8" xfId="0" applyNumberFormat="1" applyFont="1" applyFill="1" applyBorder="1" applyAlignment="1">
      <alignment vertical="center" wrapText="1"/>
    </xf>
    <xf numFmtId="0" fontId="21" fillId="3" borderId="8" xfId="0" applyFont="1" applyFill="1" applyBorder="1" applyAlignment="1">
      <alignment vertical="center" wrapText="1"/>
    </xf>
    <xf numFmtId="175" fontId="21" fillId="3" borderId="8" xfId="0" applyNumberFormat="1" applyFont="1" applyFill="1" applyBorder="1" applyAlignment="1">
      <alignment vertical="center" wrapText="1"/>
    </xf>
    <xf numFmtId="0" fontId="121" fillId="0" borderId="0" xfId="0" applyFont="1" applyAlignment="1">
      <alignment vertical="center" wrapText="1"/>
    </xf>
    <xf numFmtId="0" fontId="121" fillId="0" borderId="8" xfId="0" applyFont="1" applyBorder="1" applyAlignment="1">
      <alignment vertical="center" wrapText="1"/>
    </xf>
    <xf numFmtId="174" fontId="21" fillId="3" borderId="0" xfId="0" applyNumberFormat="1" applyFont="1" applyFill="1" applyAlignment="1">
      <alignment horizontal="right" vertical="center" wrapText="1"/>
    </xf>
    <xf numFmtId="174" fontId="21" fillId="3" borderId="8" xfId="0" applyNumberFormat="1" applyFont="1" applyFill="1" applyBorder="1" applyAlignment="1">
      <alignment horizontal="right" vertical="center" wrapText="1"/>
    </xf>
    <xf numFmtId="174" fontId="121" fillId="0" borderId="0" xfId="0" applyNumberFormat="1" applyFont="1" applyAlignment="1">
      <alignment horizontal="right" vertical="center" wrapText="1"/>
    </xf>
    <xf numFmtId="174" fontId="121" fillId="0" borderId="8" xfId="0" applyNumberFormat="1" applyFont="1" applyBorder="1" applyAlignment="1">
      <alignment horizontal="right" vertical="center" wrapText="1"/>
    </xf>
    <xf numFmtId="3" fontId="121" fillId="0" borderId="0" xfId="0" applyNumberFormat="1" applyFont="1" applyAlignment="1">
      <alignment horizontal="right" vertical="center" wrapText="1"/>
    </xf>
    <xf numFmtId="176" fontId="121" fillId="0" borderId="0" xfId="0" applyNumberFormat="1" applyFont="1" applyAlignment="1">
      <alignment horizontal="right" vertical="center" wrapText="1"/>
    </xf>
    <xf numFmtId="3" fontId="121" fillId="0" borderId="8" xfId="0" applyNumberFormat="1" applyFont="1" applyBorder="1" applyAlignment="1">
      <alignment horizontal="right" vertical="center" wrapText="1"/>
    </xf>
    <xf numFmtId="176" fontId="121" fillId="0" borderId="8" xfId="0" applyNumberFormat="1" applyFont="1" applyBorder="1" applyAlignment="1">
      <alignment horizontal="right" vertical="center" wrapText="1"/>
    </xf>
    <xf numFmtId="177" fontId="121" fillId="0" borderId="0" xfId="0" applyNumberFormat="1" applyFont="1" applyAlignment="1">
      <alignment horizontal="right" vertical="center" wrapText="1"/>
    </xf>
    <xf numFmtId="177" fontId="121" fillId="0" borderId="8" xfId="0" applyNumberFormat="1" applyFont="1" applyBorder="1" applyAlignment="1">
      <alignment horizontal="right" vertical="center" wrapText="1"/>
    </xf>
    <xf numFmtId="0" fontId="128" fillId="7" borderId="0" xfId="1" applyFont="1" applyFill="1" applyAlignment="1">
      <alignment vertical="center"/>
    </xf>
    <xf numFmtId="0" fontId="12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1" fillId="3" borderId="0" xfId="0" applyFont="1" applyFill="1" applyAlignment="1">
      <alignment vertical="center"/>
    </xf>
    <xf numFmtId="175" fontId="121" fillId="0" borderId="0" xfId="0" applyNumberFormat="1" applyFont="1" applyAlignment="1">
      <alignment vertical="center"/>
    </xf>
    <xf numFmtId="4" fontId="121" fillId="0" borderId="0" xfId="0" applyNumberFormat="1" applyFont="1" applyAlignment="1">
      <alignment vertical="center"/>
    </xf>
    <xf numFmtId="0" fontId="121" fillId="0" borderId="0" xfId="0" applyFont="1" applyAlignment="1">
      <alignment horizontal="left" vertical="center" indent="1"/>
    </xf>
    <xf numFmtId="178" fontId="121" fillId="0" borderId="0" xfId="0" applyNumberFormat="1" applyFont="1" applyAlignment="1">
      <alignment vertical="center"/>
    </xf>
    <xf numFmtId="0" fontId="13" fillId="7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23" fillId="0" borderId="0" xfId="0" applyFont="1" applyAlignment="1">
      <alignment vertical="center" wrapText="1"/>
    </xf>
    <xf numFmtId="0" fontId="121" fillId="0" borderId="0" xfId="0" applyFont="1" applyAlignment="1">
      <alignment vertical="center" wrapText="1"/>
    </xf>
    <xf numFmtId="4" fontId="121" fillId="0" borderId="0" xfId="0" applyNumberFormat="1" applyFont="1" applyAlignment="1">
      <alignment vertical="center"/>
    </xf>
    <xf numFmtId="0" fontId="121" fillId="0" borderId="0" xfId="0" applyFont="1" applyAlignment="1">
      <alignment vertical="center"/>
    </xf>
    <xf numFmtId="178" fontId="121" fillId="0" borderId="0" xfId="0" applyNumberFormat="1" applyFont="1" applyAlignment="1">
      <alignment vertical="center"/>
    </xf>
    <xf numFmtId="4" fontId="130" fillId="10" borderId="0" xfId="0" applyNumberFormat="1" applyFont="1" applyFill="1" applyAlignment="1">
      <alignment horizontal="right" vertical="center"/>
    </xf>
    <xf numFmtId="0" fontId="130" fillId="10" borderId="0" xfId="0" applyFont="1" applyFill="1" applyAlignment="1">
      <alignment horizontal="right" vertical="center"/>
    </xf>
    <xf numFmtId="0" fontId="131" fillId="10" borderId="0" xfId="0" applyFont="1" applyFill="1" applyAlignment="1">
      <alignment horizontal="right" vertical="center"/>
    </xf>
    <xf numFmtId="0" fontId="121" fillId="10" borderId="0" xfId="0" applyFont="1" applyFill="1" applyAlignment="1">
      <alignment vertical="center" wrapText="1"/>
    </xf>
    <xf numFmtId="0" fontId="21" fillId="3" borderId="0" xfId="0" applyFont="1" applyFill="1" applyAlignment="1">
      <alignment vertical="center"/>
    </xf>
    <xf numFmtId="0" fontId="123" fillId="0" borderId="0" xfId="0" applyFont="1" applyAlignment="1">
      <alignment vertical="center"/>
    </xf>
    <xf numFmtId="178" fontId="130" fillId="10" borderId="0" xfId="0" applyNumberFormat="1" applyFont="1" applyFill="1" applyAlignment="1">
      <alignment horizontal="right" vertical="center"/>
    </xf>
    <xf numFmtId="0" fontId="127" fillId="0" borderId="9" xfId="0" applyFont="1" applyBorder="1" applyAlignment="1">
      <alignment vertical="center"/>
    </xf>
    <xf numFmtId="0" fontId="127" fillId="0" borderId="0" xfId="0" applyFont="1" applyAlignment="1">
      <alignment vertical="center"/>
    </xf>
    <xf numFmtId="3" fontId="125" fillId="10" borderId="0" xfId="0" applyNumberFormat="1" applyFont="1" applyFill="1" applyAlignment="1">
      <alignment vertical="center"/>
    </xf>
    <xf numFmtId="0" fontId="125" fillId="10" borderId="0" xfId="0" applyFont="1" applyFill="1" applyAlignment="1">
      <alignment vertical="center"/>
    </xf>
    <xf numFmtId="174" fontId="125" fillId="10" borderId="0" xfId="0" applyNumberFormat="1" applyFont="1" applyFill="1" applyAlignment="1">
      <alignment vertical="center"/>
    </xf>
    <xf numFmtId="176" fontId="125" fillId="10" borderId="0" xfId="0" applyNumberFormat="1" applyFont="1" applyFill="1" applyAlignment="1">
      <alignment vertical="center"/>
    </xf>
    <xf numFmtId="0" fontId="126" fillId="10" borderId="0" xfId="0" applyFont="1" applyFill="1" applyAlignment="1">
      <alignment vertical="center"/>
    </xf>
    <xf numFmtId="0" fontId="53" fillId="7" borderId="0" xfId="0" applyFont="1" applyFill="1" applyAlignment="1">
      <alignment vertical="center"/>
    </xf>
    <xf numFmtId="0" fontId="54" fillId="7" borderId="0" xfId="0" applyFont="1" applyFill="1" applyAlignment="1">
      <alignment vertical="center"/>
    </xf>
    <xf numFmtId="0" fontId="84" fillId="7" borderId="0" xfId="0" applyFont="1" applyFill="1" applyAlignment="1">
      <alignment vertical="center"/>
    </xf>
    <xf numFmtId="0" fontId="97" fillId="7" borderId="0" xfId="0" applyFont="1" applyFill="1"/>
    <xf numFmtId="0" fontId="132" fillId="7" borderId="0" xfId="0" applyFont="1" applyFill="1" applyAlignment="1">
      <alignment vertical="center"/>
    </xf>
    <xf numFmtId="0" fontId="133" fillId="0" borderId="0" xfId="0" applyFont="1" applyAlignment="1">
      <alignment vertical="center"/>
    </xf>
    <xf numFmtId="0" fontId="21" fillId="3" borderId="0" xfId="0" applyFont="1" applyFill="1" applyAlignment="1">
      <alignment vertical="center" wrapText="1"/>
    </xf>
    <xf numFmtId="0" fontId="134" fillId="0" borderId="0" xfId="0" applyFont="1" applyAlignment="1">
      <alignment vertical="center" wrapText="1"/>
    </xf>
    <xf numFmtId="0" fontId="135" fillId="0" borderId="0" xfId="0" applyFont="1" applyAlignment="1">
      <alignment vertical="center" wrapText="1"/>
    </xf>
    <xf numFmtId="0" fontId="135" fillId="0" borderId="0" xfId="0" applyFont="1" applyAlignment="1">
      <alignment vertical="center"/>
    </xf>
    <xf numFmtId="0" fontId="0" fillId="0" borderId="0" xfId="0" applyNumberFormat="1"/>
    <xf numFmtId="173" fontId="0" fillId="0" borderId="0" xfId="0" applyNumberFormat="1"/>
    <xf numFmtId="179" fontId="0" fillId="0" borderId="0" xfId="0" applyNumberFormat="1"/>
    <xf numFmtId="0" fontId="121" fillId="12" borderId="0" xfId="0" applyFont="1" applyFill="1" applyAlignment="1">
      <alignment vertical="center" wrapText="1"/>
    </xf>
    <xf numFmtId="0" fontId="137" fillId="12" borderId="0" xfId="0" applyFont="1" applyFill="1" applyAlignment="1">
      <alignment vertical="center" wrapText="1"/>
    </xf>
    <xf numFmtId="0" fontId="137" fillId="0" borderId="0" xfId="0" applyFont="1" applyAlignment="1">
      <alignment vertical="center" wrapText="1"/>
    </xf>
    <xf numFmtId="0" fontId="127" fillId="12" borderId="0" xfId="0" applyFont="1" applyFill="1" applyAlignment="1">
      <alignment vertical="center" wrapText="1"/>
    </xf>
    <xf numFmtId="0" fontId="127" fillId="0" borderId="0" xfId="0" applyFont="1" applyAlignment="1">
      <alignment vertical="center" wrapText="1"/>
    </xf>
    <xf numFmtId="173" fontId="127" fillId="12" borderId="0" xfId="0" applyNumberFormat="1" applyFont="1" applyFill="1" applyAlignment="1">
      <alignment horizontal="left" vertical="center" wrapText="1"/>
    </xf>
    <xf numFmtId="173" fontId="127" fillId="0" borderId="0" xfId="0" applyNumberFormat="1" applyFont="1" applyAlignment="1">
      <alignment horizontal="left" vertical="center" wrapText="1"/>
    </xf>
    <xf numFmtId="0" fontId="127" fillId="12" borderId="0" xfId="0" applyFont="1" applyFill="1" applyAlignment="1">
      <alignment horizontal="left" vertical="center" wrapText="1" indent="1"/>
    </xf>
    <xf numFmtId="0" fontId="127" fillId="0" borderId="0" xfId="0" applyFont="1" applyAlignment="1">
      <alignment horizontal="left" vertical="center" wrapText="1" indent="1"/>
    </xf>
    <xf numFmtId="0" fontId="138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95">
    <dxf>
      <numFmt numFmtId="0" formatCode="General"/>
    </dxf>
    <dxf>
      <numFmt numFmtId="0" formatCode="General"/>
    </dxf>
    <dxf>
      <numFmt numFmtId="179" formatCode="dd\ mmm\ yyyy\ h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3" formatCode="dd\ mmm\ yyyy\ hh:mm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9" formatCode="dd/mmm/yy\ hh:mm:ss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9" formatCode="dd/mmm/yy\ hh:mm:ss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9" formatCode="dd/mmm/yy\ hh:mm:ss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9" formatCode="dd/mmm/yy\ hh:mm:ss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9" formatCode="dd/mmm/yy\ hh:mm:ss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165" formatCode="#,##0.00;\(#,##0.00\);&quot;-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20" formatCode="dd/mmm/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/>
        <color rgb="FFA1282F"/>
      </font>
      <fill>
        <patternFill patternType="solid">
          <bgColor rgb="FFFDE9E7"/>
        </patternFill>
      </fill>
    </dxf>
    <dxf>
      <font>
        <b/>
        <color rgb="FFA1282F"/>
      </font>
      <fill>
        <patternFill patternType="solid">
          <bgColor rgb="FFFDE9E7"/>
        </patternFill>
      </fill>
    </dxf>
    <dxf>
      <fill>
        <patternFill>
          <bgColor rgb="FFFFF3CD"/>
        </patternFill>
      </fill>
    </dxf>
    <dxf>
      <fill>
        <patternFill>
          <bgColor rgb="FFFFF3CD"/>
        </patternFill>
      </fill>
    </dxf>
    <dxf>
      <fill>
        <patternFill>
          <bgColor rgb="FFFFF3CD"/>
        </patternFill>
      </fill>
    </dxf>
    <dxf>
      <font>
        <b/>
        <i val="0"/>
        <color rgb="FF9C2029"/>
      </font>
      <fill>
        <patternFill>
          <bgColor rgb="FFFDE9E7"/>
        </patternFill>
      </fill>
    </dxf>
    <dxf>
      <font>
        <b/>
        <color rgb="FFA1282F"/>
      </font>
      <fill>
        <patternFill patternType="solid">
          <bgColor rgb="FFFDE9E7"/>
        </patternFill>
      </fill>
    </dxf>
    <dxf>
      <font>
        <b/>
        <color rgb="FFA1282F"/>
      </font>
      <fill>
        <patternFill patternType="solid">
          <bgColor rgb="FFFDE9E7"/>
        </patternFill>
      </fill>
    </dxf>
    <dxf>
      <font>
        <color rgb="FF202A35"/>
      </font>
      <fill>
        <patternFill patternType="solid">
          <fgColor indexed="64"/>
          <bgColor rgb="FFFFFFFF"/>
        </patternFill>
      </fill>
      <alignment horizontal="left" vertical="bottom" textRotation="0" wrapText="0" indent="1" justifyLastLine="0" shrinkToFit="0" readingOrder="0"/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  <alignment horizontal="left" vertical="center" textRotation="0" wrapText="0" indent="1" justifyLastLine="0" shrinkToFit="0" readingOrder="0"/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175494"/>
      </font>
      <fill>
        <patternFill patternType="solid">
          <fgColor indexed="64"/>
          <bgColor rgb="FFFFF3CD"/>
        </patternFill>
      </fill>
    </dxf>
    <dxf>
      <font>
        <color rgb="FFFFFFFF"/>
      </font>
      <fill>
        <patternFill patternType="solid">
          <fgColor indexed="64"/>
          <bgColor rgb="FF213C5A"/>
        </patternFill>
      </fill>
    </dxf>
    <dxf>
      <numFmt numFmtId="177" formatCode="0.0%"/>
      <alignment horizontal="right" vertical="center" textRotation="0" wrapText="1" indent="0" justifyLastLine="0" shrinkToFit="0" readingOrder="0"/>
    </dxf>
    <dxf>
      <numFmt numFmtId="0" formatCode="General"/>
    </dxf>
    <dxf>
      <numFmt numFmtId="176" formatCode="0.00&quot;x&quot;"/>
      <alignment horizontal="right" vertical="center" textRotation="0" wrapText="1" indent="0" justifyLastLine="0" shrinkToFit="0" readingOrder="0"/>
    </dxf>
    <dxf>
      <numFmt numFmtId="174" formatCode="#,##0.00;[Red]\(#,##0.00\);0.00"/>
      <alignment horizontal="right" vertical="center" textRotation="0" wrapText="1" indent="0" justifyLastLine="0" shrinkToFit="0" readingOrder="0"/>
    </dxf>
    <dxf>
      <numFmt numFmtId="174" formatCode="#,##0.00;[Red]\(#,##0.00\);0.00"/>
      <alignment horizontal="right" vertical="center" textRotation="0" wrapText="1" indent="0" justifyLastLine="0" shrinkToFit="0" readingOrder="0"/>
    </dxf>
    <dxf>
      <numFmt numFmtId="174" formatCode="#,##0.00;[Red]\(#,##0.00\);0.00"/>
      <alignment horizontal="right" vertical="center" textRotation="0" wrapText="1" indent="0" justifyLastLine="0" shrinkToFit="0" readingOrder="0"/>
    </dxf>
    <dxf>
      <numFmt numFmtId="3" formatCode="#,##0"/>
      <alignment horizontal="right" vertical="center" textRotation="0" wrapText="1" indent="0" justifyLastLine="0" shrinkToFit="0" readingOrder="0"/>
    </dxf>
    <dxf>
      <numFmt numFmtId="0" formatCode="General"/>
    </dxf>
    <dxf>
      <numFmt numFmtId="174" formatCode="#,##0.00;[Red]\(#,##0.00\);0.00"/>
      <alignment horizontal="right" vertical="center" textRotation="0" wrapText="1" indent="0" justifyLastLine="0" shrinkToFit="0" readingOrder="0"/>
    </dxf>
    <dxf>
      <numFmt numFmtId="174" formatCode="#,##0.00;[Red]\(#,##0.00\);0.00"/>
      <alignment horizontal="right" vertical="center" textRotation="0" wrapText="1" indent="0" justifyLastLine="0" shrinkToFit="0" readingOrder="0"/>
    </dxf>
    <dxf>
      <numFmt numFmtId="174" formatCode="#,##0.00;[Red]\(#,##0.00\);0.00"/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13C5A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13C5A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A35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13C5A"/>
        </patternFill>
      </fill>
      <alignment horizontal="center" vertical="center" textRotation="0" wrapText="1" indent="0" justifyLastLine="0" shrinkToFit="0" readingOrder="0"/>
    </dxf>
    <dxf>
      <font>
        <color rgb="FF202A35"/>
      </font>
      <numFmt numFmtId="0" formatCode="General"/>
    </dxf>
    <dxf>
      <font>
        <color rgb="FF202A35"/>
      </font>
      <numFmt numFmtId="173" formatCode="dd\ mmm\ yyyy\ hh:mm"/>
    </dxf>
    <dxf>
      <font>
        <color rgb="FF175494"/>
      </font>
      <fill>
        <patternFill patternType="solid">
          <fgColor indexed="64"/>
          <bgColor rgb="FFFFF3CD"/>
        </patternFill>
      </fill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202A35"/>
      </font>
      <numFmt numFmtId="0" formatCode="General"/>
      <alignment horizontal="left" vertical="center" textRotation="0" wrapText="1" indent="1" justifyLastLine="0" shrinkToFit="0" readingOrder="0"/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202A35"/>
      </font>
      <numFmt numFmtId="172" formatCode="dd\ mmm\ hh:mm"/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202A35"/>
      </font>
      <numFmt numFmtId="171" formatCode="0&quot; min&quot;"/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202A35"/>
      </font>
      <numFmt numFmtId="170" formatCode="\+0.00%;\-0.00%;&quot;0.00%&quot;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202A35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rgb="FFE2E8F0"/>
        </top>
        <bottom style="thin">
          <color rgb="FFE2E8F0"/>
        </bottom>
      </border>
    </dxf>
    <dxf>
      <font>
        <color rgb="FF175494"/>
      </font>
      <fill>
        <patternFill patternType="solid">
          <fgColor indexed="64"/>
          <bgColor rgb="FFFFF3CD"/>
        </patternFill>
      </fill>
      <border diagonalUp="0" diagonalDown="0">
        <left/>
        <right/>
        <top style="thin">
          <color rgb="FFE2E8F0"/>
        </top>
        <bottom style="thin">
          <color rgb="FFE2E8F0"/>
        </bottom>
        <vertical/>
        <horizontal style="thin">
          <color rgb="FFE2E8F0"/>
        </horizontal>
      </border>
    </dxf>
    <dxf>
      <font>
        <color rgb="FF202A35"/>
      </font>
      <border diagonalUp="0" diagonalDown="0">
        <left/>
        <right/>
        <top style="thin">
          <color rgb="FFE2E8F0"/>
        </top>
        <bottom style="thin">
          <color rgb="FFE2E8F0"/>
        </bottom>
        <vertical/>
        <horizontal style="thin">
          <color rgb="FFE2E8F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sz="975">
                <a:latin typeface="Arial"/>
                <a:ea typeface="Arial"/>
                <a:cs typeface="Arial"/>
              </a:rPr>
              <a:t>Cash-flow-adjusted growth (start 100)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Portfolio index</c:v>
          </c:tx>
          <c:spPr>
            <a:ln w="19050">
              <a:solidFill>
                <a:srgbClr val="086E76"/>
              </a:solidFill>
              <a:prstDash val="solid"/>
            </a:ln>
          </c:spPr>
          <c:marker>
            <c:symbol val="none"/>
          </c:marker>
          <c:cat>
            <c:strRef>
              <c:f>Performance!$A$36:$A$61</c:f>
              <c:strCache>
                <c:ptCount val="26"/>
                <c:pt idx="0">
                  <c:v>27-Mar</c:v>
                </c:pt>
                <c:pt idx="1">
                  <c:v>03-Apr</c:v>
                </c:pt>
                <c:pt idx="2">
                  <c:v>10-Apr</c:v>
                </c:pt>
                <c:pt idx="3">
                  <c:v>17-Apr</c:v>
                </c:pt>
                <c:pt idx="4">
                  <c:v>24-Apr</c:v>
                </c:pt>
                <c:pt idx="5">
                  <c:v>01-May</c:v>
                </c:pt>
                <c:pt idx="6">
                  <c:v>08-May</c:v>
                </c:pt>
                <c:pt idx="7">
                  <c:v>15-May</c:v>
                </c:pt>
                <c:pt idx="8">
                  <c:v>22-May</c:v>
                </c:pt>
                <c:pt idx="9">
                  <c:v>29-May</c:v>
                </c:pt>
                <c:pt idx="10">
                  <c:v>05-Jun</c:v>
                </c:pt>
                <c:pt idx="11">
                  <c:v>12-Jun</c:v>
                </c:pt>
                <c:pt idx="12">
                  <c:v>19-Jun</c:v>
                </c:pt>
                <c:pt idx="13">
                  <c:v>26-Jun</c:v>
                </c:pt>
                <c:pt idx="14">
                  <c:v>03-Jul</c:v>
                </c:pt>
                <c:pt idx="15">
                  <c:v>10-Jul</c:v>
                </c:pt>
                <c:pt idx="16">
                  <c:v>17-Jul</c:v>
                </c:pt>
                <c:pt idx="17">
                  <c:v>24-Jul</c:v>
                </c:pt>
                <c:pt idx="18">
                  <c:v>31-Jul</c:v>
                </c:pt>
                <c:pt idx="19">
                  <c:v>07-Aug</c:v>
                </c:pt>
                <c:pt idx="20">
                  <c:v>14-Aug</c:v>
                </c:pt>
                <c:pt idx="21">
                  <c:v>21-Aug</c:v>
                </c:pt>
                <c:pt idx="22">
                  <c:v>28-Aug</c:v>
                </c:pt>
                <c:pt idx="23">
                  <c:v>04-Sep</c:v>
                </c:pt>
                <c:pt idx="24">
                  <c:v>11-Sep</c:v>
                </c:pt>
                <c:pt idx="25">
                  <c:v>18-Sep</c:v>
                </c:pt>
              </c:strCache>
            </c:strRef>
          </c:cat>
          <c:val>
            <c:numRef>
              <c:f>Performance!$B$36:$B$61</c:f>
              <c:numCache>
                <c:formatCode>0.00</c:formatCode>
                <c:ptCount val="26"/>
                <c:pt idx="0">
                  <c:v>101.2429504</c:v>
                </c:pt>
                <c:pt idx="1">
                  <c:v>100.03672560000001</c:v>
                </c:pt>
                <c:pt idx="2">
                  <c:v>99.515026400000011</c:v>
                </c:pt>
                <c:pt idx="3">
                  <c:v>99.757746799999993</c:v>
                </c:pt>
                <c:pt idx="4">
                  <c:v>99.390875599999987</c:v>
                </c:pt>
                <c:pt idx="5">
                  <c:v>98.714225090064147</c:v>
                </c:pt>
                <c:pt idx="6">
                  <c:v>98.217545810087017</c:v>
                </c:pt>
                <c:pt idx="7">
                  <c:v>98.661626156553595</c:v>
                </c:pt>
                <c:pt idx="8">
                  <c:v>97.536683763660562</c:v>
                </c:pt>
                <c:pt idx="9">
                  <c:v>97.902007757279236</c:v>
                </c:pt>
                <c:pt idx="10">
                  <c:v>96.849714132091094</c:v>
                </c:pt>
                <c:pt idx="11">
                  <c:v>95.74796749256403</c:v>
                </c:pt>
                <c:pt idx="12">
                  <c:v>97.292863772983949</c:v>
                </c:pt>
                <c:pt idx="13">
                  <c:v>99.15156612612985</c:v>
                </c:pt>
                <c:pt idx="14">
                  <c:v>99.731054603237965</c:v>
                </c:pt>
                <c:pt idx="15">
                  <c:v>100.54808611815967</c:v>
                </c:pt>
                <c:pt idx="16">
                  <c:v>101.68400019915038</c:v>
                </c:pt>
                <c:pt idx="17">
                  <c:v>100.55460269094806</c:v>
                </c:pt>
                <c:pt idx="18">
                  <c:v>101.69615836893909</c:v>
                </c:pt>
                <c:pt idx="19">
                  <c:v>102.84219127019533</c:v>
                </c:pt>
                <c:pt idx="20">
                  <c:v>102.76906414876852</c:v>
                </c:pt>
                <c:pt idx="21">
                  <c:v>100.94956528516305</c:v>
                </c:pt>
                <c:pt idx="22">
                  <c:v>99.090048706669975</c:v>
                </c:pt>
                <c:pt idx="23">
                  <c:v>100.69837048665232</c:v>
                </c:pt>
                <c:pt idx="24">
                  <c:v>101.70966311665187</c:v>
                </c:pt>
                <c:pt idx="25">
                  <c:v>98.282375746643709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48-46B9-82A8-F1EEAD69164D}"/>
            </c:ext>
          </c:extLst>
        </c:ser>
        <c:ser>
          <c:idx val="1"/>
          <c:order val="1"/>
          <c:tx>
            <c:v>Benchmark index</c:v>
          </c:tx>
          <c:spPr>
            <a:ln w="19050">
              <a:solidFill>
                <a:srgbClr val="A56A17"/>
              </a:solidFill>
              <a:prstDash val="dash"/>
            </a:ln>
          </c:spPr>
          <c:marker>
            <c:symbol val="none"/>
          </c:marker>
          <c:cat>
            <c:strRef>
              <c:f>Performance!$A$36:$A$61</c:f>
              <c:strCache>
                <c:ptCount val="26"/>
                <c:pt idx="0">
                  <c:v>27-Mar</c:v>
                </c:pt>
                <c:pt idx="1">
                  <c:v>03-Apr</c:v>
                </c:pt>
                <c:pt idx="2">
                  <c:v>10-Apr</c:v>
                </c:pt>
                <c:pt idx="3">
                  <c:v>17-Apr</c:v>
                </c:pt>
                <c:pt idx="4">
                  <c:v>24-Apr</c:v>
                </c:pt>
                <c:pt idx="5">
                  <c:v>01-May</c:v>
                </c:pt>
                <c:pt idx="6">
                  <c:v>08-May</c:v>
                </c:pt>
                <c:pt idx="7">
                  <c:v>15-May</c:v>
                </c:pt>
                <c:pt idx="8">
                  <c:v>22-May</c:v>
                </c:pt>
                <c:pt idx="9">
                  <c:v>29-May</c:v>
                </c:pt>
                <c:pt idx="10">
                  <c:v>05-Jun</c:v>
                </c:pt>
                <c:pt idx="11">
                  <c:v>12-Jun</c:v>
                </c:pt>
                <c:pt idx="12">
                  <c:v>19-Jun</c:v>
                </c:pt>
                <c:pt idx="13">
                  <c:v>26-Jun</c:v>
                </c:pt>
                <c:pt idx="14">
                  <c:v>03-Jul</c:v>
                </c:pt>
                <c:pt idx="15">
                  <c:v>10-Jul</c:v>
                </c:pt>
                <c:pt idx="16">
                  <c:v>17-Jul</c:v>
                </c:pt>
                <c:pt idx="17">
                  <c:v>24-Jul</c:v>
                </c:pt>
                <c:pt idx="18">
                  <c:v>31-Jul</c:v>
                </c:pt>
                <c:pt idx="19">
                  <c:v>07-Aug</c:v>
                </c:pt>
                <c:pt idx="20">
                  <c:v>14-Aug</c:v>
                </c:pt>
                <c:pt idx="21">
                  <c:v>21-Aug</c:v>
                </c:pt>
                <c:pt idx="22">
                  <c:v>28-Aug</c:v>
                </c:pt>
                <c:pt idx="23">
                  <c:v>04-Sep</c:v>
                </c:pt>
                <c:pt idx="24">
                  <c:v>11-Sep</c:v>
                </c:pt>
                <c:pt idx="25">
                  <c:v>18-Sep</c:v>
                </c:pt>
              </c:strCache>
            </c:strRef>
          </c:cat>
          <c:val>
            <c:numRef>
              <c:f>Performance!$C$36:$C$61</c:f>
              <c:numCache>
                <c:formatCode>0.00</c:formatCode>
                <c:ptCount val="26"/>
                <c:pt idx="0">
                  <c:v>101.39547570000001</c:v>
                </c:pt>
                <c:pt idx="1">
                  <c:v>99.58256639999999</c:v>
                </c:pt>
                <c:pt idx="2">
                  <c:v>98.5995116</c:v>
                </c:pt>
                <c:pt idx="3">
                  <c:v>98.854471999999987</c:v>
                </c:pt>
                <c:pt idx="4">
                  <c:v>97.328268899999998</c:v>
                </c:pt>
                <c:pt idx="5">
                  <c:v>96.809650199999993</c:v>
                </c:pt>
                <c:pt idx="6">
                  <c:v>95.382601300000005</c:v>
                </c:pt>
                <c:pt idx="7">
                  <c:v>94.821611200000007</c:v>
                </c:pt>
                <c:pt idx="8">
                  <c:v>93.794179999999997</c:v>
                </c:pt>
                <c:pt idx="9">
                  <c:v>94.293305799999999</c:v>
                </c:pt>
                <c:pt idx="10">
                  <c:v>92.373102100000011</c:v>
                </c:pt>
                <c:pt idx="11">
                  <c:v>92.297650999999988</c:v>
                </c:pt>
                <c:pt idx="12">
                  <c:v>94.067238000000003</c:v>
                </c:pt>
                <c:pt idx="13">
                  <c:v>97.057310399999992</c:v>
                </c:pt>
                <c:pt idx="14">
                  <c:v>97.147943299999994</c:v>
                </c:pt>
                <c:pt idx="15">
                  <c:v>97.803045400000002</c:v>
                </c:pt>
                <c:pt idx="16">
                  <c:v>97.566513400000005</c:v>
                </c:pt>
                <c:pt idx="17">
                  <c:v>96.276389600000002</c:v>
                </c:pt>
                <c:pt idx="18">
                  <c:v>97.485243300000008</c:v>
                </c:pt>
                <c:pt idx="19">
                  <c:v>98.759670500000013</c:v>
                </c:pt>
                <c:pt idx="20">
                  <c:v>98.554955800000002</c:v>
                </c:pt>
                <c:pt idx="21">
                  <c:v>97.847237500000006</c:v>
                </c:pt>
                <c:pt idx="22">
                  <c:v>97.370688800000011</c:v>
                </c:pt>
                <c:pt idx="23">
                  <c:v>98.773055299999996</c:v>
                </c:pt>
                <c:pt idx="24">
                  <c:v>100.32490510000001</c:v>
                </c:pt>
                <c:pt idx="25">
                  <c:v>96.624133900000004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48-46B9-82A8-F1EEAD691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low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sz="975">
                <a:latin typeface="Arial"/>
                <a:ea typeface="Arial"/>
                <a:cs typeface="Arial"/>
              </a:rPr>
              <a:t>Portfolio drawdown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Drawdown</c:v>
          </c:tx>
          <c:spPr>
            <a:ln w="19050">
              <a:solidFill>
                <a:srgbClr val="086E76"/>
              </a:solidFill>
              <a:prstDash val="solid"/>
            </a:ln>
          </c:spPr>
          <c:marker>
            <c:symbol val="none"/>
          </c:marker>
          <c:cat>
            <c:strRef>
              <c:f>Performance!$A$36:$A$61</c:f>
              <c:strCache>
                <c:ptCount val="26"/>
                <c:pt idx="0">
                  <c:v>27-Mar</c:v>
                </c:pt>
                <c:pt idx="1">
                  <c:v>03-Apr</c:v>
                </c:pt>
                <c:pt idx="2">
                  <c:v>10-Apr</c:v>
                </c:pt>
                <c:pt idx="3">
                  <c:v>17-Apr</c:v>
                </c:pt>
                <c:pt idx="4">
                  <c:v>24-Apr</c:v>
                </c:pt>
                <c:pt idx="5">
                  <c:v>01-May</c:v>
                </c:pt>
                <c:pt idx="6">
                  <c:v>08-May</c:v>
                </c:pt>
                <c:pt idx="7">
                  <c:v>15-May</c:v>
                </c:pt>
                <c:pt idx="8">
                  <c:v>22-May</c:v>
                </c:pt>
                <c:pt idx="9">
                  <c:v>29-May</c:v>
                </c:pt>
                <c:pt idx="10">
                  <c:v>05-Jun</c:v>
                </c:pt>
                <c:pt idx="11">
                  <c:v>12-Jun</c:v>
                </c:pt>
                <c:pt idx="12">
                  <c:v>19-Jun</c:v>
                </c:pt>
                <c:pt idx="13">
                  <c:v>26-Jun</c:v>
                </c:pt>
                <c:pt idx="14">
                  <c:v>03-Jul</c:v>
                </c:pt>
                <c:pt idx="15">
                  <c:v>10-Jul</c:v>
                </c:pt>
                <c:pt idx="16">
                  <c:v>17-Jul</c:v>
                </c:pt>
                <c:pt idx="17">
                  <c:v>24-Jul</c:v>
                </c:pt>
                <c:pt idx="18">
                  <c:v>31-Jul</c:v>
                </c:pt>
                <c:pt idx="19">
                  <c:v>07-Aug</c:v>
                </c:pt>
                <c:pt idx="20">
                  <c:v>14-Aug</c:v>
                </c:pt>
                <c:pt idx="21">
                  <c:v>21-Aug</c:v>
                </c:pt>
                <c:pt idx="22">
                  <c:v>28-Aug</c:v>
                </c:pt>
                <c:pt idx="23">
                  <c:v>04-Sep</c:v>
                </c:pt>
                <c:pt idx="24">
                  <c:v>11-Sep</c:v>
                </c:pt>
                <c:pt idx="25">
                  <c:v>18-Sep</c:v>
                </c:pt>
              </c:strCache>
            </c:strRef>
          </c:cat>
          <c:val>
            <c:numRef>
              <c:f>Performance!$D$36:$D$61</c:f>
              <c:numCache>
                <c:formatCode>0.0%;\(0.0%\);"-"</c:formatCode>
                <c:ptCount val="26"/>
                <c:pt idx="0">
                  <c:v>0</c:v>
                </c:pt>
                <c:pt idx="1">
                  <c:v>-1.5293302678724197E-2</c:v>
                </c:pt>
                <c:pt idx="2">
                  <c:v>-2.0428623663552137E-2</c:v>
                </c:pt>
                <c:pt idx="3">
                  <c:v>-1.8039417079440567E-2</c:v>
                </c:pt>
                <c:pt idx="4">
                  <c:v>-2.1650696092498367E-2</c:v>
                </c:pt>
                <c:pt idx="5">
                  <c:v>-2.8311272844519508E-2</c:v>
                </c:pt>
                <c:pt idx="6">
                  <c:v>-3.3200311449899322E-2</c:v>
                </c:pt>
                <c:pt idx="7">
                  <c:v>-2.8829027916860595E-2</c:v>
                </c:pt>
                <c:pt idx="8">
                  <c:v>-3.9902344258818001E-2</c:v>
                </c:pt>
                <c:pt idx="9">
                  <c:v>-3.6306295097364272E-2</c:v>
                </c:pt>
                <c:pt idx="10">
                  <c:v>-4.6664496788356491E-2</c:v>
                </c:pt>
                <c:pt idx="11">
                  <c:v>-5.750948684762236E-2</c:v>
                </c:pt>
                <c:pt idx="12">
                  <c:v>-4.2302374610871718E-2</c:v>
                </c:pt>
                <c:pt idx="13">
                  <c:v>-2.4006327389294313E-2</c:v>
                </c:pt>
                <c:pt idx="14">
                  <c:v>-1.8302160434544801E-2</c:v>
                </c:pt>
                <c:pt idx="15">
                  <c:v>-1.0259750011367585E-2</c:v>
                </c:pt>
                <c:pt idx="16">
                  <c:v>-2.939371255505363E-3</c:v>
                </c:pt>
                <c:pt idx="17">
                  <c:v>-1.4013658138645524E-2</c:v>
                </c:pt>
                <c:pt idx="18">
                  <c:v>-2.8201545410746487E-3</c:v>
                </c:pt>
                <c:pt idx="19">
                  <c:v>0</c:v>
                </c:pt>
                <c:pt idx="20">
                  <c:v>-1.6956301323498568E-3</c:v>
                </c:pt>
                <c:pt idx="21">
                  <c:v>-1.9370342669160823E-2</c:v>
                </c:pt>
                <c:pt idx="22">
                  <c:v>-3.7433789500433967E-2</c:v>
                </c:pt>
                <c:pt idx="23">
                  <c:v>-2.1810462827093535E-2</c:v>
                </c:pt>
                <c:pt idx="24">
                  <c:v>-1.1986710318439453E-2</c:v>
                </c:pt>
                <c:pt idx="25">
                  <c:v>-4.527956927956045E-2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1-4182-8402-A4903AD98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low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;\(0.0%\);&quot;-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CA"/>
              <a:t>Daily closes and 50-session average (INR)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Split-adjusted close</c:v>
          </c:tx>
          <c:spPr>
            <a:ln w="25400">
              <a:solidFill>
                <a:srgbClr val="196479"/>
              </a:solidFill>
              <a:prstDash val="solid"/>
            </a:ln>
          </c:spPr>
          <c:marker>
            <c:symbol val="none"/>
          </c:marker>
          <c:cat>
            <c:numRef>
              <c:f>[0]!StockChartDates</c:f>
              <c:numCache>
                <c:formatCode>dd\ mmm\ yyyy</c:formatCode>
                <c:ptCount val="130"/>
                <c:pt idx="0">
                  <c:v>46104</c:v>
                </c:pt>
                <c:pt idx="1">
                  <c:v>46105</c:v>
                </c:pt>
                <c:pt idx="2">
                  <c:v>46106</c:v>
                </c:pt>
                <c:pt idx="3">
                  <c:v>46107</c:v>
                </c:pt>
                <c:pt idx="4">
                  <c:v>46108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46118</c:v>
                </c:pt>
                <c:pt idx="11">
                  <c:v>46119</c:v>
                </c:pt>
                <c:pt idx="12">
                  <c:v>46120</c:v>
                </c:pt>
                <c:pt idx="13">
                  <c:v>46121</c:v>
                </c:pt>
                <c:pt idx="14">
                  <c:v>46122</c:v>
                </c:pt>
                <c:pt idx="15">
                  <c:v>46125</c:v>
                </c:pt>
                <c:pt idx="16">
                  <c:v>46126</c:v>
                </c:pt>
                <c:pt idx="17">
                  <c:v>46127</c:v>
                </c:pt>
                <c:pt idx="18">
                  <c:v>46128</c:v>
                </c:pt>
                <c:pt idx="19">
                  <c:v>46129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46139</c:v>
                </c:pt>
                <c:pt idx="26">
                  <c:v>46140</c:v>
                </c:pt>
                <c:pt idx="27">
                  <c:v>46141</c:v>
                </c:pt>
                <c:pt idx="28">
                  <c:v>46142</c:v>
                </c:pt>
                <c:pt idx="29">
                  <c:v>46143</c:v>
                </c:pt>
                <c:pt idx="30">
                  <c:v>46146</c:v>
                </c:pt>
                <c:pt idx="31">
                  <c:v>46147</c:v>
                </c:pt>
                <c:pt idx="32">
                  <c:v>46148</c:v>
                </c:pt>
                <c:pt idx="33">
                  <c:v>46149</c:v>
                </c:pt>
                <c:pt idx="34">
                  <c:v>46150</c:v>
                </c:pt>
                <c:pt idx="35">
                  <c:v>46153</c:v>
                </c:pt>
                <c:pt idx="36">
                  <c:v>46154</c:v>
                </c:pt>
                <c:pt idx="37">
                  <c:v>46155</c:v>
                </c:pt>
                <c:pt idx="38">
                  <c:v>46156</c:v>
                </c:pt>
                <c:pt idx="39">
                  <c:v>46157</c:v>
                </c:pt>
                <c:pt idx="40">
                  <c:v>46160</c:v>
                </c:pt>
                <c:pt idx="41">
                  <c:v>46161</c:v>
                </c:pt>
                <c:pt idx="42">
                  <c:v>46162</c:v>
                </c:pt>
                <c:pt idx="43">
                  <c:v>46163</c:v>
                </c:pt>
                <c:pt idx="44">
                  <c:v>46164</c:v>
                </c:pt>
                <c:pt idx="45">
                  <c:v>46167</c:v>
                </c:pt>
                <c:pt idx="46">
                  <c:v>46168</c:v>
                </c:pt>
                <c:pt idx="47">
                  <c:v>46169</c:v>
                </c:pt>
                <c:pt idx="48">
                  <c:v>46170</c:v>
                </c:pt>
                <c:pt idx="49">
                  <c:v>46171</c:v>
                </c:pt>
                <c:pt idx="50">
                  <c:v>46174</c:v>
                </c:pt>
                <c:pt idx="51">
                  <c:v>46175</c:v>
                </c:pt>
                <c:pt idx="52">
                  <c:v>46176</c:v>
                </c:pt>
                <c:pt idx="53">
                  <c:v>46177</c:v>
                </c:pt>
                <c:pt idx="54">
                  <c:v>46178</c:v>
                </c:pt>
                <c:pt idx="55">
                  <c:v>46181</c:v>
                </c:pt>
                <c:pt idx="56">
                  <c:v>46182</c:v>
                </c:pt>
                <c:pt idx="57">
                  <c:v>46183</c:v>
                </c:pt>
                <c:pt idx="58">
                  <c:v>46184</c:v>
                </c:pt>
                <c:pt idx="59">
                  <c:v>46185</c:v>
                </c:pt>
                <c:pt idx="60">
                  <c:v>46188</c:v>
                </c:pt>
                <c:pt idx="61">
                  <c:v>46189</c:v>
                </c:pt>
                <c:pt idx="62">
                  <c:v>46190</c:v>
                </c:pt>
                <c:pt idx="63">
                  <c:v>46191</c:v>
                </c:pt>
                <c:pt idx="64">
                  <c:v>46192</c:v>
                </c:pt>
                <c:pt idx="65">
                  <c:v>46195</c:v>
                </c:pt>
                <c:pt idx="66">
                  <c:v>46196</c:v>
                </c:pt>
                <c:pt idx="67">
                  <c:v>46197</c:v>
                </c:pt>
                <c:pt idx="68">
                  <c:v>46198</c:v>
                </c:pt>
                <c:pt idx="69">
                  <c:v>46199</c:v>
                </c:pt>
                <c:pt idx="70">
                  <c:v>46202</c:v>
                </c:pt>
                <c:pt idx="71">
                  <c:v>46203</c:v>
                </c:pt>
                <c:pt idx="72">
                  <c:v>46204</c:v>
                </c:pt>
                <c:pt idx="73">
                  <c:v>46205</c:v>
                </c:pt>
                <c:pt idx="74">
                  <c:v>46206</c:v>
                </c:pt>
                <c:pt idx="75">
                  <c:v>46209</c:v>
                </c:pt>
                <c:pt idx="76">
                  <c:v>46210</c:v>
                </c:pt>
                <c:pt idx="77">
                  <c:v>46211</c:v>
                </c:pt>
                <c:pt idx="78">
                  <c:v>46212</c:v>
                </c:pt>
                <c:pt idx="79">
                  <c:v>46213</c:v>
                </c:pt>
                <c:pt idx="80">
                  <c:v>46216</c:v>
                </c:pt>
                <c:pt idx="81">
                  <c:v>46217</c:v>
                </c:pt>
                <c:pt idx="82">
                  <c:v>46218</c:v>
                </c:pt>
                <c:pt idx="83">
                  <c:v>46219</c:v>
                </c:pt>
                <c:pt idx="84">
                  <c:v>46220</c:v>
                </c:pt>
                <c:pt idx="85">
                  <c:v>46223</c:v>
                </c:pt>
                <c:pt idx="86">
                  <c:v>46224</c:v>
                </c:pt>
                <c:pt idx="87">
                  <c:v>46225</c:v>
                </c:pt>
                <c:pt idx="88">
                  <c:v>46226</c:v>
                </c:pt>
                <c:pt idx="89">
                  <c:v>46227</c:v>
                </c:pt>
                <c:pt idx="90">
                  <c:v>46230</c:v>
                </c:pt>
                <c:pt idx="91">
                  <c:v>46231</c:v>
                </c:pt>
                <c:pt idx="92">
                  <c:v>46232</c:v>
                </c:pt>
                <c:pt idx="93">
                  <c:v>46233</c:v>
                </c:pt>
                <c:pt idx="94">
                  <c:v>46234</c:v>
                </c:pt>
                <c:pt idx="95">
                  <c:v>46237</c:v>
                </c:pt>
                <c:pt idx="96">
                  <c:v>46238</c:v>
                </c:pt>
                <c:pt idx="97">
                  <c:v>46239</c:v>
                </c:pt>
                <c:pt idx="98">
                  <c:v>46240</c:v>
                </c:pt>
                <c:pt idx="99">
                  <c:v>46241</c:v>
                </c:pt>
                <c:pt idx="100">
                  <c:v>46244</c:v>
                </c:pt>
                <c:pt idx="101">
                  <c:v>46245</c:v>
                </c:pt>
                <c:pt idx="102">
                  <c:v>46246</c:v>
                </c:pt>
                <c:pt idx="103">
                  <c:v>46247</c:v>
                </c:pt>
                <c:pt idx="104">
                  <c:v>46248</c:v>
                </c:pt>
                <c:pt idx="105">
                  <c:v>46251</c:v>
                </c:pt>
                <c:pt idx="106">
                  <c:v>46252</c:v>
                </c:pt>
                <c:pt idx="107">
                  <c:v>46253</c:v>
                </c:pt>
                <c:pt idx="108">
                  <c:v>46254</c:v>
                </c:pt>
                <c:pt idx="109">
                  <c:v>46255</c:v>
                </c:pt>
                <c:pt idx="110">
                  <c:v>46258</c:v>
                </c:pt>
                <c:pt idx="111">
                  <c:v>46259</c:v>
                </c:pt>
                <c:pt idx="112">
                  <c:v>46260</c:v>
                </c:pt>
                <c:pt idx="113">
                  <c:v>46261</c:v>
                </c:pt>
                <c:pt idx="114">
                  <c:v>46262</c:v>
                </c:pt>
                <c:pt idx="115">
                  <c:v>46265</c:v>
                </c:pt>
                <c:pt idx="116">
                  <c:v>46266</c:v>
                </c:pt>
                <c:pt idx="117">
                  <c:v>46267</c:v>
                </c:pt>
                <c:pt idx="118">
                  <c:v>46268</c:v>
                </c:pt>
                <c:pt idx="119">
                  <c:v>46269</c:v>
                </c:pt>
                <c:pt idx="120">
                  <c:v>46272</c:v>
                </c:pt>
                <c:pt idx="121">
                  <c:v>46273</c:v>
                </c:pt>
                <c:pt idx="122">
                  <c:v>46274</c:v>
                </c:pt>
                <c:pt idx="123">
                  <c:v>46275</c:v>
                </c:pt>
                <c:pt idx="124">
                  <c:v>46276</c:v>
                </c:pt>
                <c:pt idx="125">
                  <c:v>46279</c:v>
                </c:pt>
                <c:pt idx="126">
                  <c:v>46280</c:v>
                </c:pt>
                <c:pt idx="127">
                  <c:v>46281</c:v>
                </c:pt>
                <c:pt idx="128">
                  <c:v>46282</c:v>
                </c:pt>
                <c:pt idx="129">
                  <c:v>46283</c:v>
                </c:pt>
              </c:numCache>
            </c:numRef>
          </c:cat>
          <c:val>
            <c:numRef>
              <c:f>[0]!StockChartCloses</c:f>
              <c:numCache>
                <c:formatCode>General</c:formatCode>
                <c:ptCount val="130"/>
                <c:pt idx="0">
                  <c:v>550</c:v>
                </c:pt>
                <c:pt idx="1">
                  <c:v>553.26610000000005</c:v>
                </c:pt>
                <c:pt idx="2">
                  <c:v>550.68269999999995</c:v>
                </c:pt>
                <c:pt idx="3">
                  <c:v>554.25819999999999</c:v>
                </c:pt>
                <c:pt idx="4">
                  <c:v>550.76199999999994</c:v>
                </c:pt>
                <c:pt idx="5">
                  <c:v>549.21100000000001</c:v>
                </c:pt>
                <c:pt idx="6">
                  <c:v>554.87429999999995</c:v>
                </c:pt>
                <c:pt idx="7">
                  <c:v>551.06700000000001</c:v>
                </c:pt>
                <c:pt idx="8">
                  <c:v>547.12490000000003</c:v>
                </c:pt>
                <c:pt idx="9">
                  <c:v>550.71010000000001</c:v>
                </c:pt>
                <c:pt idx="10">
                  <c:v>547.25160000000005</c:v>
                </c:pt>
                <c:pt idx="11">
                  <c:v>549.08460000000002</c:v>
                </c:pt>
                <c:pt idx="12">
                  <c:v>544.03899999999999</c:v>
                </c:pt>
                <c:pt idx="13">
                  <c:v>545.40620000000001</c:v>
                </c:pt>
                <c:pt idx="14">
                  <c:v>538.53480000000002</c:v>
                </c:pt>
                <c:pt idx="15">
                  <c:v>525.8261</c:v>
                </c:pt>
                <c:pt idx="16">
                  <c:v>531.84910000000002</c:v>
                </c:pt>
                <c:pt idx="17">
                  <c:v>528.66010000000006</c:v>
                </c:pt>
                <c:pt idx="18">
                  <c:v>528.77170000000001</c:v>
                </c:pt>
                <c:pt idx="19">
                  <c:v>528.05169999999998</c:v>
                </c:pt>
                <c:pt idx="20">
                  <c:v>524.89509999999996</c:v>
                </c:pt>
                <c:pt idx="21">
                  <c:v>522.87310000000002</c:v>
                </c:pt>
                <c:pt idx="22">
                  <c:v>523.24069999999995</c:v>
                </c:pt>
                <c:pt idx="23">
                  <c:v>520.38840000000005</c:v>
                </c:pt>
                <c:pt idx="24">
                  <c:v>521.20579999999995</c:v>
                </c:pt>
                <c:pt idx="25">
                  <c:v>515.25969999999995</c:v>
                </c:pt>
                <c:pt idx="26">
                  <c:v>519.63440000000003</c:v>
                </c:pt>
                <c:pt idx="27">
                  <c:v>518.53510000000006</c:v>
                </c:pt>
                <c:pt idx="28">
                  <c:v>521.17280000000005</c:v>
                </c:pt>
                <c:pt idx="29">
                  <c:v>518.6703</c:v>
                </c:pt>
                <c:pt idx="30">
                  <c:v>517.03390000000002</c:v>
                </c:pt>
                <c:pt idx="31">
                  <c:v>514.4941</c:v>
                </c:pt>
                <c:pt idx="32">
                  <c:v>516.56039999999996</c:v>
                </c:pt>
                <c:pt idx="33">
                  <c:v>508.08049999999997</c:v>
                </c:pt>
                <c:pt idx="34">
                  <c:v>508.28710000000001</c:v>
                </c:pt>
                <c:pt idx="35">
                  <c:v>501.93380000000002</c:v>
                </c:pt>
                <c:pt idx="36">
                  <c:v>502.81389999999999</c:v>
                </c:pt>
                <c:pt idx="37">
                  <c:v>504.68459999999999</c:v>
                </c:pt>
                <c:pt idx="38">
                  <c:v>497.74770000000001</c:v>
                </c:pt>
                <c:pt idx="39">
                  <c:v>498.98099999999999</c:v>
                </c:pt>
                <c:pt idx="40">
                  <c:v>494.25510000000003</c:v>
                </c:pt>
                <c:pt idx="41">
                  <c:v>495.84210000000002</c:v>
                </c:pt>
                <c:pt idx="42">
                  <c:v>500.75130000000001</c:v>
                </c:pt>
                <c:pt idx="43">
                  <c:v>496.73910000000001</c:v>
                </c:pt>
                <c:pt idx="44">
                  <c:v>497.32729999999998</c:v>
                </c:pt>
                <c:pt idx="45">
                  <c:v>505.80930000000001</c:v>
                </c:pt>
                <c:pt idx="46">
                  <c:v>508.1456</c:v>
                </c:pt>
                <c:pt idx="47">
                  <c:v>512.49839999999995</c:v>
                </c:pt>
                <c:pt idx="48">
                  <c:v>512.5412</c:v>
                </c:pt>
                <c:pt idx="49">
                  <c:v>513.9384</c:v>
                </c:pt>
                <c:pt idx="50">
                  <c:v>516.93100000000004</c:v>
                </c:pt>
                <c:pt idx="51">
                  <c:v>519.87350000000004</c:v>
                </c:pt>
                <c:pt idx="52">
                  <c:v>516.7627</c:v>
                </c:pt>
                <c:pt idx="53">
                  <c:v>509.46390000000002</c:v>
                </c:pt>
                <c:pt idx="54">
                  <c:v>512.33979999999997</c:v>
                </c:pt>
                <c:pt idx="55">
                  <c:v>518.87580000000003</c:v>
                </c:pt>
                <c:pt idx="56">
                  <c:v>519.43129999999996</c:v>
                </c:pt>
                <c:pt idx="57">
                  <c:v>515.17070000000001</c:v>
                </c:pt>
                <c:pt idx="58">
                  <c:v>511.01260000000002</c:v>
                </c:pt>
                <c:pt idx="59">
                  <c:v>514.15610000000004</c:v>
                </c:pt>
                <c:pt idx="60">
                  <c:v>513.06899999999996</c:v>
                </c:pt>
                <c:pt idx="61">
                  <c:v>513.77070000000003</c:v>
                </c:pt>
                <c:pt idx="62">
                  <c:v>519.43230000000005</c:v>
                </c:pt>
                <c:pt idx="63">
                  <c:v>516.85400000000004</c:v>
                </c:pt>
                <c:pt idx="64">
                  <c:v>521.60239999999999</c:v>
                </c:pt>
                <c:pt idx="65">
                  <c:v>532.09900000000005</c:v>
                </c:pt>
                <c:pt idx="66">
                  <c:v>536.77200000000005</c:v>
                </c:pt>
                <c:pt idx="67">
                  <c:v>540.55619999999999</c:v>
                </c:pt>
                <c:pt idx="68">
                  <c:v>540.26480000000004</c:v>
                </c:pt>
                <c:pt idx="69">
                  <c:v>548.02260000000001</c:v>
                </c:pt>
                <c:pt idx="70">
                  <c:v>552.14070000000004</c:v>
                </c:pt>
                <c:pt idx="71">
                  <c:v>553.20069999999998</c:v>
                </c:pt>
                <c:pt idx="72">
                  <c:v>557.44799999999998</c:v>
                </c:pt>
                <c:pt idx="73">
                  <c:v>544.41</c:v>
                </c:pt>
                <c:pt idx="74">
                  <c:v>548.6721</c:v>
                </c:pt>
                <c:pt idx="75">
                  <c:v>546.41060000000004</c:v>
                </c:pt>
                <c:pt idx="76">
                  <c:v>549.56830000000002</c:v>
                </c:pt>
                <c:pt idx="77">
                  <c:v>557.16729999999995</c:v>
                </c:pt>
                <c:pt idx="78">
                  <c:v>560.99289999999996</c:v>
                </c:pt>
                <c:pt idx="79">
                  <c:v>562.62850000000003</c:v>
                </c:pt>
                <c:pt idx="80">
                  <c:v>561.23379999999997</c:v>
                </c:pt>
                <c:pt idx="81">
                  <c:v>565.78589999999997</c:v>
                </c:pt>
                <c:pt idx="82">
                  <c:v>569.85739999999998</c:v>
                </c:pt>
                <c:pt idx="83">
                  <c:v>568.24940000000004</c:v>
                </c:pt>
                <c:pt idx="84">
                  <c:v>567.14279999999997</c:v>
                </c:pt>
                <c:pt idx="85">
                  <c:v>571.41039999999998</c:v>
                </c:pt>
                <c:pt idx="86">
                  <c:v>564.03250000000003</c:v>
                </c:pt>
                <c:pt idx="87">
                  <c:v>564.77859999999998</c:v>
                </c:pt>
                <c:pt idx="88">
                  <c:v>560.5222</c:v>
                </c:pt>
                <c:pt idx="89">
                  <c:v>556.10670000000005</c:v>
                </c:pt>
                <c:pt idx="90">
                  <c:v>561.59490000000005</c:v>
                </c:pt>
                <c:pt idx="91">
                  <c:v>556.00930000000005</c:v>
                </c:pt>
                <c:pt idx="92">
                  <c:v>560.43449999999996</c:v>
                </c:pt>
                <c:pt idx="93">
                  <c:v>563.16240000000005</c:v>
                </c:pt>
                <c:pt idx="94">
                  <c:v>568.84029999999996</c:v>
                </c:pt>
                <c:pt idx="95">
                  <c:v>576.98940000000005</c:v>
                </c:pt>
                <c:pt idx="96">
                  <c:v>583.66409999999996</c:v>
                </c:pt>
                <c:pt idx="97">
                  <c:v>591.48059999999998</c:v>
                </c:pt>
                <c:pt idx="98">
                  <c:v>584.34900000000005</c:v>
                </c:pt>
                <c:pt idx="99">
                  <c:v>587.57929999999999</c:v>
                </c:pt>
                <c:pt idx="100">
                  <c:v>580.63750000000005</c:v>
                </c:pt>
                <c:pt idx="101">
                  <c:v>570.89800000000002</c:v>
                </c:pt>
                <c:pt idx="102">
                  <c:v>572.25170000000003</c:v>
                </c:pt>
                <c:pt idx="103">
                  <c:v>578.20389999999998</c:v>
                </c:pt>
                <c:pt idx="104">
                  <c:v>573.64930000000004</c:v>
                </c:pt>
                <c:pt idx="105">
                  <c:v>566.02739999999994</c:v>
                </c:pt>
                <c:pt idx="106">
                  <c:v>565.4402</c:v>
                </c:pt>
                <c:pt idx="107">
                  <c:v>560.97879999999998</c:v>
                </c:pt>
                <c:pt idx="108">
                  <c:v>562.10469999999998</c:v>
                </c:pt>
                <c:pt idx="109">
                  <c:v>557.9701</c:v>
                </c:pt>
                <c:pt idx="110">
                  <c:v>564.97140000000002</c:v>
                </c:pt>
                <c:pt idx="111">
                  <c:v>562.61059999999998</c:v>
                </c:pt>
                <c:pt idx="112">
                  <c:v>557.77480000000003</c:v>
                </c:pt>
                <c:pt idx="113">
                  <c:v>547.86419999999998</c:v>
                </c:pt>
                <c:pt idx="114">
                  <c:v>552.94259999999997</c:v>
                </c:pt>
                <c:pt idx="115">
                  <c:v>555.58169999999996</c:v>
                </c:pt>
                <c:pt idx="116">
                  <c:v>565.8605</c:v>
                </c:pt>
                <c:pt idx="117">
                  <c:v>568.60940000000005</c:v>
                </c:pt>
                <c:pt idx="118">
                  <c:v>569.04150000000004</c:v>
                </c:pt>
                <c:pt idx="119">
                  <c:v>571.2885</c:v>
                </c:pt>
                <c:pt idx="120">
                  <c:v>568.1386</c:v>
                </c:pt>
                <c:pt idx="121">
                  <c:v>562.39089999999999</c:v>
                </c:pt>
                <c:pt idx="122">
                  <c:v>568.76369999999997</c:v>
                </c:pt>
                <c:pt idx="123">
                  <c:v>565.03240000000005</c:v>
                </c:pt>
                <c:pt idx="124">
                  <c:v>567.66480000000001</c:v>
                </c:pt>
                <c:pt idx="125">
                  <c:v>555.49540000000002</c:v>
                </c:pt>
                <c:pt idx="126">
                  <c:v>555.51800000000003</c:v>
                </c:pt>
                <c:pt idx="127">
                  <c:v>554.35239999999999</c:v>
                </c:pt>
                <c:pt idx="128">
                  <c:v>553.55340000000001</c:v>
                </c:pt>
                <c:pt idx="129">
                  <c:v>547.4307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C4-4B6B-AC23-2166C98975B2}"/>
            </c:ext>
          </c:extLst>
        </c:ser>
        <c:ser>
          <c:idx val="1"/>
          <c:order val="1"/>
          <c:tx>
            <c:v>50-session average</c:v>
          </c:tx>
          <c:spPr>
            <a:ln w="25400">
              <a:solidFill>
                <a:srgbClr val="9C601A"/>
              </a:solidFill>
              <a:prstDash val="dash"/>
            </a:ln>
          </c:spPr>
          <c:marker>
            <c:symbol val="none"/>
          </c:marker>
          <c:cat>
            <c:numRef>
              <c:f>[0]!StockChartDates</c:f>
              <c:numCache>
                <c:formatCode>dd\ mmm\ yyyy</c:formatCode>
                <c:ptCount val="130"/>
                <c:pt idx="0">
                  <c:v>46104</c:v>
                </c:pt>
                <c:pt idx="1">
                  <c:v>46105</c:v>
                </c:pt>
                <c:pt idx="2">
                  <c:v>46106</c:v>
                </c:pt>
                <c:pt idx="3">
                  <c:v>46107</c:v>
                </c:pt>
                <c:pt idx="4">
                  <c:v>46108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46118</c:v>
                </c:pt>
                <c:pt idx="11">
                  <c:v>46119</c:v>
                </c:pt>
                <c:pt idx="12">
                  <c:v>46120</c:v>
                </c:pt>
                <c:pt idx="13">
                  <c:v>46121</c:v>
                </c:pt>
                <c:pt idx="14">
                  <c:v>46122</c:v>
                </c:pt>
                <c:pt idx="15">
                  <c:v>46125</c:v>
                </c:pt>
                <c:pt idx="16">
                  <c:v>46126</c:v>
                </c:pt>
                <c:pt idx="17">
                  <c:v>46127</c:v>
                </c:pt>
                <c:pt idx="18">
                  <c:v>46128</c:v>
                </c:pt>
                <c:pt idx="19">
                  <c:v>46129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46139</c:v>
                </c:pt>
                <c:pt idx="26">
                  <c:v>46140</c:v>
                </c:pt>
                <c:pt idx="27">
                  <c:v>46141</c:v>
                </c:pt>
                <c:pt idx="28">
                  <c:v>46142</c:v>
                </c:pt>
                <c:pt idx="29">
                  <c:v>46143</c:v>
                </c:pt>
                <c:pt idx="30">
                  <c:v>46146</c:v>
                </c:pt>
                <c:pt idx="31">
                  <c:v>46147</c:v>
                </c:pt>
                <c:pt idx="32">
                  <c:v>46148</c:v>
                </c:pt>
                <c:pt idx="33">
                  <c:v>46149</c:v>
                </c:pt>
                <c:pt idx="34">
                  <c:v>46150</c:v>
                </c:pt>
                <c:pt idx="35">
                  <c:v>46153</c:v>
                </c:pt>
                <c:pt idx="36">
                  <c:v>46154</c:v>
                </c:pt>
                <c:pt idx="37">
                  <c:v>46155</c:v>
                </c:pt>
                <c:pt idx="38">
                  <c:v>46156</c:v>
                </c:pt>
                <c:pt idx="39">
                  <c:v>46157</c:v>
                </c:pt>
                <c:pt idx="40">
                  <c:v>46160</c:v>
                </c:pt>
                <c:pt idx="41">
                  <c:v>46161</c:v>
                </c:pt>
                <c:pt idx="42">
                  <c:v>46162</c:v>
                </c:pt>
                <c:pt idx="43">
                  <c:v>46163</c:v>
                </c:pt>
                <c:pt idx="44">
                  <c:v>46164</c:v>
                </c:pt>
                <c:pt idx="45">
                  <c:v>46167</c:v>
                </c:pt>
                <c:pt idx="46">
                  <c:v>46168</c:v>
                </c:pt>
                <c:pt idx="47">
                  <c:v>46169</c:v>
                </c:pt>
                <c:pt idx="48">
                  <c:v>46170</c:v>
                </c:pt>
                <c:pt idx="49">
                  <c:v>46171</c:v>
                </c:pt>
                <c:pt idx="50">
                  <c:v>46174</c:v>
                </c:pt>
                <c:pt idx="51">
                  <c:v>46175</c:v>
                </c:pt>
                <c:pt idx="52">
                  <c:v>46176</c:v>
                </c:pt>
                <c:pt idx="53">
                  <c:v>46177</c:v>
                </c:pt>
                <c:pt idx="54">
                  <c:v>46178</c:v>
                </c:pt>
                <c:pt idx="55">
                  <c:v>46181</c:v>
                </c:pt>
                <c:pt idx="56">
                  <c:v>46182</c:v>
                </c:pt>
                <c:pt idx="57">
                  <c:v>46183</c:v>
                </c:pt>
                <c:pt idx="58">
                  <c:v>46184</c:v>
                </c:pt>
                <c:pt idx="59">
                  <c:v>46185</c:v>
                </c:pt>
                <c:pt idx="60">
                  <c:v>46188</c:v>
                </c:pt>
                <c:pt idx="61">
                  <c:v>46189</c:v>
                </c:pt>
                <c:pt idx="62">
                  <c:v>46190</c:v>
                </c:pt>
                <c:pt idx="63">
                  <c:v>46191</c:v>
                </c:pt>
                <c:pt idx="64">
                  <c:v>46192</c:v>
                </c:pt>
                <c:pt idx="65">
                  <c:v>46195</c:v>
                </c:pt>
                <c:pt idx="66">
                  <c:v>46196</c:v>
                </c:pt>
                <c:pt idx="67">
                  <c:v>46197</c:v>
                </c:pt>
                <c:pt idx="68">
                  <c:v>46198</c:v>
                </c:pt>
                <c:pt idx="69">
                  <c:v>46199</c:v>
                </c:pt>
                <c:pt idx="70">
                  <c:v>46202</c:v>
                </c:pt>
                <c:pt idx="71">
                  <c:v>46203</c:v>
                </c:pt>
                <c:pt idx="72">
                  <c:v>46204</c:v>
                </c:pt>
                <c:pt idx="73">
                  <c:v>46205</c:v>
                </c:pt>
                <c:pt idx="74">
                  <c:v>46206</c:v>
                </c:pt>
                <c:pt idx="75">
                  <c:v>46209</c:v>
                </c:pt>
                <c:pt idx="76">
                  <c:v>46210</c:v>
                </c:pt>
                <c:pt idx="77">
                  <c:v>46211</c:v>
                </c:pt>
                <c:pt idx="78">
                  <c:v>46212</c:v>
                </c:pt>
                <c:pt idx="79">
                  <c:v>46213</c:v>
                </c:pt>
                <c:pt idx="80">
                  <c:v>46216</c:v>
                </c:pt>
                <c:pt idx="81">
                  <c:v>46217</c:v>
                </c:pt>
                <c:pt idx="82">
                  <c:v>46218</c:v>
                </c:pt>
                <c:pt idx="83">
                  <c:v>46219</c:v>
                </c:pt>
                <c:pt idx="84">
                  <c:v>46220</c:v>
                </c:pt>
                <c:pt idx="85">
                  <c:v>46223</c:v>
                </c:pt>
                <c:pt idx="86">
                  <c:v>46224</c:v>
                </c:pt>
                <c:pt idx="87">
                  <c:v>46225</c:v>
                </c:pt>
                <c:pt idx="88">
                  <c:v>46226</c:v>
                </c:pt>
                <c:pt idx="89">
                  <c:v>46227</c:v>
                </c:pt>
                <c:pt idx="90">
                  <c:v>46230</c:v>
                </c:pt>
                <c:pt idx="91">
                  <c:v>46231</c:v>
                </c:pt>
                <c:pt idx="92">
                  <c:v>46232</c:v>
                </c:pt>
                <c:pt idx="93">
                  <c:v>46233</c:v>
                </c:pt>
                <c:pt idx="94">
                  <c:v>46234</c:v>
                </c:pt>
                <c:pt idx="95">
                  <c:v>46237</c:v>
                </c:pt>
                <c:pt idx="96">
                  <c:v>46238</c:v>
                </c:pt>
                <c:pt idx="97">
                  <c:v>46239</c:v>
                </c:pt>
                <c:pt idx="98">
                  <c:v>46240</c:v>
                </c:pt>
                <c:pt idx="99">
                  <c:v>46241</c:v>
                </c:pt>
                <c:pt idx="100">
                  <c:v>46244</c:v>
                </c:pt>
                <c:pt idx="101">
                  <c:v>46245</c:v>
                </c:pt>
                <c:pt idx="102">
                  <c:v>46246</c:v>
                </c:pt>
                <c:pt idx="103">
                  <c:v>46247</c:v>
                </c:pt>
                <c:pt idx="104">
                  <c:v>46248</c:v>
                </c:pt>
                <c:pt idx="105">
                  <c:v>46251</c:v>
                </c:pt>
                <c:pt idx="106">
                  <c:v>46252</c:v>
                </c:pt>
                <c:pt idx="107">
                  <c:v>46253</c:v>
                </c:pt>
                <c:pt idx="108">
                  <c:v>46254</c:v>
                </c:pt>
                <c:pt idx="109">
                  <c:v>46255</c:v>
                </c:pt>
                <c:pt idx="110">
                  <c:v>46258</c:v>
                </c:pt>
                <c:pt idx="111">
                  <c:v>46259</c:v>
                </c:pt>
                <c:pt idx="112">
                  <c:v>46260</c:v>
                </c:pt>
                <c:pt idx="113">
                  <c:v>46261</c:v>
                </c:pt>
                <c:pt idx="114">
                  <c:v>46262</c:v>
                </c:pt>
                <c:pt idx="115">
                  <c:v>46265</c:v>
                </c:pt>
                <c:pt idx="116">
                  <c:v>46266</c:v>
                </c:pt>
                <c:pt idx="117">
                  <c:v>46267</c:v>
                </c:pt>
                <c:pt idx="118">
                  <c:v>46268</c:v>
                </c:pt>
                <c:pt idx="119">
                  <c:v>46269</c:v>
                </c:pt>
                <c:pt idx="120">
                  <c:v>46272</c:v>
                </c:pt>
                <c:pt idx="121">
                  <c:v>46273</c:v>
                </c:pt>
                <c:pt idx="122">
                  <c:v>46274</c:v>
                </c:pt>
                <c:pt idx="123">
                  <c:v>46275</c:v>
                </c:pt>
                <c:pt idx="124">
                  <c:v>46276</c:v>
                </c:pt>
                <c:pt idx="125">
                  <c:v>46279</c:v>
                </c:pt>
                <c:pt idx="126">
                  <c:v>46280</c:v>
                </c:pt>
                <c:pt idx="127">
                  <c:v>46281</c:v>
                </c:pt>
                <c:pt idx="128">
                  <c:v>46282</c:v>
                </c:pt>
                <c:pt idx="129">
                  <c:v>46283</c:v>
                </c:pt>
              </c:numCache>
            </c:numRef>
          </c:cat>
          <c:val>
            <c:numRef>
              <c:f>[0]!StockChartAverage</c:f>
              <c:numCache>
                <c:formatCode>General</c:formatCode>
                <c:ptCount val="13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523.87542800000006</c:v>
                </c:pt>
                <c:pt idx="50">
                  <c:v>523.21404800000005</c:v>
                </c:pt>
                <c:pt idx="51">
                  <c:v>522.54619600000001</c:v>
                </c:pt>
                <c:pt idx="52">
                  <c:v>521.86779600000011</c:v>
                </c:pt>
                <c:pt idx="53">
                  <c:v>520.97191000000009</c:v>
                </c:pt>
                <c:pt idx="54">
                  <c:v>520.20346600000016</c:v>
                </c:pt>
                <c:pt idx="55">
                  <c:v>519.59676200000013</c:v>
                </c:pt>
                <c:pt idx="56">
                  <c:v>518.88790200000005</c:v>
                </c:pt>
                <c:pt idx="57">
                  <c:v>518.16997600000013</c:v>
                </c:pt>
                <c:pt idx="58">
                  <c:v>517.44772999999998</c:v>
                </c:pt>
                <c:pt idx="59">
                  <c:v>516.71665000000007</c:v>
                </c:pt>
                <c:pt idx="60">
                  <c:v>516.03299800000002</c:v>
                </c:pt>
                <c:pt idx="61">
                  <c:v>515.32672000000002</c:v>
                </c:pt>
                <c:pt idx="62">
                  <c:v>514.83458600000006</c:v>
                </c:pt>
                <c:pt idx="63">
                  <c:v>514.26354200000014</c:v>
                </c:pt>
                <c:pt idx="64">
                  <c:v>513.92489400000011</c:v>
                </c:pt>
                <c:pt idx="65">
                  <c:v>514.05035200000009</c:v>
                </c:pt>
                <c:pt idx="66">
                  <c:v>514.14881000000014</c:v>
                </c:pt>
                <c:pt idx="67">
                  <c:v>514.38673200000005</c:v>
                </c:pt>
                <c:pt idx="68">
                  <c:v>514.61659400000008</c:v>
                </c:pt>
                <c:pt idx="69">
                  <c:v>515.01601200000005</c:v>
                </c:pt>
                <c:pt idx="70">
                  <c:v>515.56092400000011</c:v>
                </c:pt>
                <c:pt idx="71">
                  <c:v>516.16747600000008</c:v>
                </c:pt>
                <c:pt idx="72">
                  <c:v>516.85162200000002</c:v>
                </c:pt>
                <c:pt idx="73">
                  <c:v>517.33205399999997</c:v>
                </c:pt>
                <c:pt idx="74">
                  <c:v>517.88138000000004</c:v>
                </c:pt>
                <c:pt idx="75">
                  <c:v>518.50439800000004</c:v>
                </c:pt>
                <c:pt idx="76">
                  <c:v>519.10307599999999</c:v>
                </c:pt>
                <c:pt idx="77">
                  <c:v>519.87572</c:v>
                </c:pt>
                <c:pt idx="78">
                  <c:v>520.67212200000006</c:v>
                </c:pt>
                <c:pt idx="79">
                  <c:v>521.551286</c:v>
                </c:pt>
                <c:pt idx="80">
                  <c:v>522.43528399999991</c:v>
                </c:pt>
                <c:pt idx="81">
                  <c:v>523.46112000000005</c:v>
                </c:pt>
                <c:pt idx="82">
                  <c:v>524.52706000000001</c:v>
                </c:pt>
                <c:pt idx="83">
                  <c:v>525.73043799999994</c:v>
                </c:pt>
                <c:pt idx="84">
                  <c:v>526.90755200000012</c:v>
                </c:pt>
                <c:pt idx="85">
                  <c:v>528.29708400000015</c:v>
                </c:pt>
                <c:pt idx="86">
                  <c:v>529.52145600000006</c:v>
                </c:pt>
                <c:pt idx="87">
                  <c:v>530.72333600000013</c:v>
                </c:pt>
                <c:pt idx="88">
                  <c:v>531.97882600000014</c:v>
                </c:pt>
                <c:pt idx="89">
                  <c:v>533.12134000000015</c:v>
                </c:pt>
                <c:pt idx="90">
                  <c:v>534.46813600000007</c:v>
                </c:pt>
                <c:pt idx="91">
                  <c:v>535.6714800000002</c:v>
                </c:pt>
                <c:pt idx="92">
                  <c:v>536.8651440000001</c:v>
                </c:pt>
                <c:pt idx="93">
                  <c:v>538.19361000000015</c:v>
                </c:pt>
                <c:pt idx="94">
                  <c:v>539.62387000000024</c:v>
                </c:pt>
                <c:pt idx="95">
                  <c:v>541.0474720000002</c:v>
                </c:pt>
                <c:pt idx="96">
                  <c:v>542.55784200000005</c:v>
                </c:pt>
                <c:pt idx="97">
                  <c:v>544.13748599999997</c:v>
                </c:pt>
                <c:pt idx="98">
                  <c:v>545.57364199999995</c:v>
                </c:pt>
                <c:pt idx="99">
                  <c:v>547.04646000000014</c:v>
                </c:pt>
                <c:pt idx="100">
                  <c:v>548.32059000000004</c:v>
                </c:pt>
                <c:pt idx="101">
                  <c:v>549.34108000000003</c:v>
                </c:pt>
                <c:pt idx="102">
                  <c:v>550.45086000000015</c:v>
                </c:pt>
                <c:pt idx="103">
                  <c:v>551.82566000000008</c:v>
                </c:pt>
                <c:pt idx="104">
                  <c:v>553.05185000000017</c:v>
                </c:pt>
                <c:pt idx="105">
                  <c:v>553.99488200000019</c:v>
                </c:pt>
                <c:pt idx="106">
                  <c:v>554.91506000000004</c:v>
                </c:pt>
                <c:pt idx="107">
                  <c:v>555.83122200000003</c:v>
                </c:pt>
                <c:pt idx="108">
                  <c:v>556.85306400000013</c:v>
                </c:pt>
                <c:pt idx="109">
                  <c:v>557.72934399999997</c:v>
                </c:pt>
                <c:pt idx="110">
                  <c:v>558.76739200000009</c:v>
                </c:pt>
                <c:pt idx="111">
                  <c:v>559.74419</c:v>
                </c:pt>
                <c:pt idx="112">
                  <c:v>560.51103999999998</c:v>
                </c:pt>
                <c:pt idx="113">
                  <c:v>561.13124400000004</c:v>
                </c:pt>
                <c:pt idx="114">
                  <c:v>561.75804799999992</c:v>
                </c:pt>
                <c:pt idx="115">
                  <c:v>562.22770199999979</c:v>
                </c:pt>
                <c:pt idx="116">
                  <c:v>562.80947199999991</c:v>
                </c:pt>
                <c:pt idx="117">
                  <c:v>563.3705359999999</c:v>
                </c:pt>
                <c:pt idx="118">
                  <c:v>563.94606999999985</c:v>
                </c:pt>
                <c:pt idx="119">
                  <c:v>564.41138799999999</c:v>
                </c:pt>
                <c:pt idx="120">
                  <c:v>564.7313459999998</c:v>
                </c:pt>
                <c:pt idx="121">
                  <c:v>564.91514999999981</c:v>
                </c:pt>
                <c:pt idx="122">
                  <c:v>565.14146399999981</c:v>
                </c:pt>
                <c:pt idx="123">
                  <c:v>565.55391199999974</c:v>
                </c:pt>
                <c:pt idx="124">
                  <c:v>565.93376599999976</c:v>
                </c:pt>
                <c:pt idx="125">
                  <c:v>566.11546199999975</c:v>
                </c:pt>
                <c:pt idx="126">
                  <c:v>566.2344559999998</c:v>
                </c:pt>
                <c:pt idx="127">
                  <c:v>566.17815799999971</c:v>
                </c:pt>
                <c:pt idx="128">
                  <c:v>566.02936799999986</c:v>
                </c:pt>
                <c:pt idx="129">
                  <c:v>565.72541199999989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C4-4B6B-AC23-2166C9897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dd\ mmm" sourceLinked="0"/>
        <c:majorTickMark val="none"/>
        <c:minorTickMark val="none"/>
        <c:tickLblPos val="low"/>
        <c:crossAx val="48672768"/>
        <c:crosses val="autoZero"/>
        <c:auto val="0"/>
        <c:lblAlgn val="ctr"/>
        <c:lblOffset val="100"/>
        <c:tickLblSkip val="2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0"/>
    <c:dispBlanksAs val="gap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 sz="1000">
          <a:latin typeface="Aptos"/>
          <a:ea typeface="Aptos"/>
          <a:cs typeface="Apto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sz="975">
                <a:latin typeface="Arial"/>
                <a:ea typeface="Arial"/>
                <a:cs typeface="Arial"/>
              </a:rPr>
              <a:t>Growth after cash-flow adjustment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Portfolio</c:v>
          </c:tx>
          <c:spPr>
            <a:ln w="19050">
              <a:solidFill>
                <a:srgbClr val="086E76"/>
              </a:solidFill>
              <a:prstDash val="solid"/>
            </a:ln>
          </c:spPr>
          <c:marker>
            <c:symbol val="none"/>
          </c:marker>
          <c:cat>
            <c:strRef>
              <c:f>Portfolio!$R$7:$R$32</c:f>
              <c:strCache>
                <c:ptCount val="26"/>
                <c:pt idx="0">
                  <c:v>27-Mar</c:v>
                </c:pt>
                <c:pt idx="1">
                  <c:v>03-Apr</c:v>
                </c:pt>
                <c:pt idx="2">
                  <c:v>10-Apr</c:v>
                </c:pt>
                <c:pt idx="3">
                  <c:v>17-Apr</c:v>
                </c:pt>
                <c:pt idx="4">
                  <c:v>24-Apr</c:v>
                </c:pt>
                <c:pt idx="5">
                  <c:v>01-May</c:v>
                </c:pt>
                <c:pt idx="6">
                  <c:v>08-May</c:v>
                </c:pt>
                <c:pt idx="7">
                  <c:v>15-May</c:v>
                </c:pt>
                <c:pt idx="8">
                  <c:v>22-May</c:v>
                </c:pt>
                <c:pt idx="9">
                  <c:v>29-May</c:v>
                </c:pt>
                <c:pt idx="10">
                  <c:v>05-Jun</c:v>
                </c:pt>
                <c:pt idx="11">
                  <c:v>12-Jun</c:v>
                </c:pt>
                <c:pt idx="12">
                  <c:v>19-Jun</c:v>
                </c:pt>
                <c:pt idx="13">
                  <c:v>26-Jun</c:v>
                </c:pt>
                <c:pt idx="14">
                  <c:v>03-Jul</c:v>
                </c:pt>
                <c:pt idx="15">
                  <c:v>10-Jul</c:v>
                </c:pt>
                <c:pt idx="16">
                  <c:v>17-Jul</c:v>
                </c:pt>
                <c:pt idx="17">
                  <c:v>24-Jul</c:v>
                </c:pt>
                <c:pt idx="18">
                  <c:v>31-Jul</c:v>
                </c:pt>
                <c:pt idx="19">
                  <c:v>07-Aug</c:v>
                </c:pt>
                <c:pt idx="20">
                  <c:v>14-Aug</c:v>
                </c:pt>
                <c:pt idx="21">
                  <c:v>21-Aug</c:v>
                </c:pt>
                <c:pt idx="22">
                  <c:v>28-Aug</c:v>
                </c:pt>
                <c:pt idx="23">
                  <c:v>04-Sep</c:v>
                </c:pt>
                <c:pt idx="24">
                  <c:v>11-Sep</c:v>
                </c:pt>
                <c:pt idx="25">
                  <c:v>18-Sep</c:v>
                </c:pt>
              </c:strCache>
            </c:strRef>
          </c:cat>
          <c:val>
            <c:numRef>
              <c:f>Portfolio!$S$7:$S$32</c:f>
              <c:numCache>
                <c:formatCode>General</c:formatCode>
                <c:ptCount val="26"/>
                <c:pt idx="0">
                  <c:v>101.2429504</c:v>
                </c:pt>
                <c:pt idx="1">
                  <c:v>100.03672560000001</c:v>
                </c:pt>
                <c:pt idx="2">
                  <c:v>99.515026400000011</c:v>
                </c:pt>
                <c:pt idx="3">
                  <c:v>99.757746799999993</c:v>
                </c:pt>
                <c:pt idx="4">
                  <c:v>99.390875599999987</c:v>
                </c:pt>
                <c:pt idx="5">
                  <c:v>98.714225090064147</c:v>
                </c:pt>
                <c:pt idx="6">
                  <c:v>98.217545810087017</c:v>
                </c:pt>
                <c:pt idx="7">
                  <c:v>98.661626156553595</c:v>
                </c:pt>
                <c:pt idx="8">
                  <c:v>97.536683763660562</c:v>
                </c:pt>
                <c:pt idx="9">
                  <c:v>97.902007757279236</c:v>
                </c:pt>
                <c:pt idx="10">
                  <c:v>96.849714132091094</c:v>
                </c:pt>
                <c:pt idx="11">
                  <c:v>95.74796749256403</c:v>
                </c:pt>
                <c:pt idx="12">
                  <c:v>97.292863772983949</c:v>
                </c:pt>
                <c:pt idx="13">
                  <c:v>99.15156612612985</c:v>
                </c:pt>
                <c:pt idx="14">
                  <c:v>99.731054603237965</c:v>
                </c:pt>
                <c:pt idx="15">
                  <c:v>100.54808611815967</c:v>
                </c:pt>
                <c:pt idx="16">
                  <c:v>101.68400019915038</c:v>
                </c:pt>
                <c:pt idx="17">
                  <c:v>100.55460269094806</c:v>
                </c:pt>
                <c:pt idx="18">
                  <c:v>101.69615836893909</c:v>
                </c:pt>
                <c:pt idx="19">
                  <c:v>102.84219127019533</c:v>
                </c:pt>
                <c:pt idx="20">
                  <c:v>102.76906414876852</c:v>
                </c:pt>
                <c:pt idx="21">
                  <c:v>100.94956528516305</c:v>
                </c:pt>
                <c:pt idx="22">
                  <c:v>99.090048706669975</c:v>
                </c:pt>
                <c:pt idx="23">
                  <c:v>100.69837048665232</c:v>
                </c:pt>
                <c:pt idx="24">
                  <c:v>101.70966311665187</c:v>
                </c:pt>
                <c:pt idx="25">
                  <c:v>98.282375746643709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9B-4306-9656-4653D63B7D9C}"/>
            </c:ext>
          </c:extLst>
        </c:ser>
        <c:ser>
          <c:idx val="1"/>
          <c:order val="1"/>
          <c:tx>
            <c:v>Benchmark</c:v>
          </c:tx>
          <c:spPr>
            <a:ln w="19050">
              <a:solidFill>
                <a:srgbClr val="A56A17"/>
              </a:solidFill>
              <a:prstDash val="dash"/>
            </a:ln>
          </c:spPr>
          <c:marker>
            <c:symbol val="none"/>
          </c:marker>
          <c:cat>
            <c:strRef>
              <c:f>Portfolio!$R$7:$R$32</c:f>
              <c:strCache>
                <c:ptCount val="26"/>
                <c:pt idx="0">
                  <c:v>27-Mar</c:v>
                </c:pt>
                <c:pt idx="1">
                  <c:v>03-Apr</c:v>
                </c:pt>
                <c:pt idx="2">
                  <c:v>10-Apr</c:v>
                </c:pt>
                <c:pt idx="3">
                  <c:v>17-Apr</c:v>
                </c:pt>
                <c:pt idx="4">
                  <c:v>24-Apr</c:v>
                </c:pt>
                <c:pt idx="5">
                  <c:v>01-May</c:v>
                </c:pt>
                <c:pt idx="6">
                  <c:v>08-May</c:v>
                </c:pt>
                <c:pt idx="7">
                  <c:v>15-May</c:v>
                </c:pt>
                <c:pt idx="8">
                  <c:v>22-May</c:v>
                </c:pt>
                <c:pt idx="9">
                  <c:v>29-May</c:v>
                </c:pt>
                <c:pt idx="10">
                  <c:v>05-Jun</c:v>
                </c:pt>
                <c:pt idx="11">
                  <c:v>12-Jun</c:v>
                </c:pt>
                <c:pt idx="12">
                  <c:v>19-Jun</c:v>
                </c:pt>
                <c:pt idx="13">
                  <c:v>26-Jun</c:v>
                </c:pt>
                <c:pt idx="14">
                  <c:v>03-Jul</c:v>
                </c:pt>
                <c:pt idx="15">
                  <c:v>10-Jul</c:v>
                </c:pt>
                <c:pt idx="16">
                  <c:v>17-Jul</c:v>
                </c:pt>
                <c:pt idx="17">
                  <c:v>24-Jul</c:v>
                </c:pt>
                <c:pt idx="18">
                  <c:v>31-Jul</c:v>
                </c:pt>
                <c:pt idx="19">
                  <c:v>07-Aug</c:v>
                </c:pt>
                <c:pt idx="20">
                  <c:v>14-Aug</c:v>
                </c:pt>
                <c:pt idx="21">
                  <c:v>21-Aug</c:v>
                </c:pt>
                <c:pt idx="22">
                  <c:v>28-Aug</c:v>
                </c:pt>
                <c:pt idx="23">
                  <c:v>04-Sep</c:v>
                </c:pt>
                <c:pt idx="24">
                  <c:v>11-Sep</c:v>
                </c:pt>
                <c:pt idx="25">
                  <c:v>18-Sep</c:v>
                </c:pt>
              </c:strCache>
            </c:strRef>
          </c:cat>
          <c:val>
            <c:numRef>
              <c:f>Portfolio!$T$7:$T$32</c:f>
              <c:numCache>
                <c:formatCode>General</c:formatCode>
                <c:ptCount val="26"/>
                <c:pt idx="0">
                  <c:v>101.39547570000001</c:v>
                </c:pt>
                <c:pt idx="1">
                  <c:v>99.58256639999999</c:v>
                </c:pt>
                <c:pt idx="2">
                  <c:v>98.5995116</c:v>
                </c:pt>
                <c:pt idx="3">
                  <c:v>98.854471999999987</c:v>
                </c:pt>
                <c:pt idx="4">
                  <c:v>97.328268899999998</c:v>
                </c:pt>
                <c:pt idx="5">
                  <c:v>96.809650199999993</c:v>
                </c:pt>
                <c:pt idx="6">
                  <c:v>95.382601300000005</c:v>
                </c:pt>
                <c:pt idx="7">
                  <c:v>94.821611200000007</c:v>
                </c:pt>
                <c:pt idx="8">
                  <c:v>93.794179999999997</c:v>
                </c:pt>
                <c:pt idx="9">
                  <c:v>94.293305799999999</c:v>
                </c:pt>
                <c:pt idx="10">
                  <c:v>92.373102100000011</c:v>
                </c:pt>
                <c:pt idx="11">
                  <c:v>92.297650999999988</c:v>
                </c:pt>
                <c:pt idx="12">
                  <c:v>94.067238000000003</c:v>
                </c:pt>
                <c:pt idx="13">
                  <c:v>97.057310399999992</c:v>
                </c:pt>
                <c:pt idx="14">
                  <c:v>97.147943299999994</c:v>
                </c:pt>
                <c:pt idx="15">
                  <c:v>97.803045400000002</c:v>
                </c:pt>
                <c:pt idx="16">
                  <c:v>97.566513400000005</c:v>
                </c:pt>
                <c:pt idx="17">
                  <c:v>96.276389600000002</c:v>
                </c:pt>
                <c:pt idx="18">
                  <c:v>97.485243300000008</c:v>
                </c:pt>
                <c:pt idx="19">
                  <c:v>98.759670500000013</c:v>
                </c:pt>
                <c:pt idx="20">
                  <c:v>98.554955800000002</c:v>
                </c:pt>
                <c:pt idx="21">
                  <c:v>97.847237500000006</c:v>
                </c:pt>
                <c:pt idx="22">
                  <c:v>97.370688800000011</c:v>
                </c:pt>
                <c:pt idx="23">
                  <c:v>98.773055299999996</c:v>
                </c:pt>
                <c:pt idx="24">
                  <c:v>100.32490510000001</c:v>
                </c:pt>
                <c:pt idx="25">
                  <c:v>96.624133900000004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9B-4306-9656-4653D63B7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low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sz="975">
                <a:latin typeface="Arial"/>
                <a:ea typeface="Arial"/>
                <a:cs typeface="Arial"/>
              </a:rPr>
              <a:t>Portfolio allocation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Weight</c:v>
          </c:tx>
          <c:spPr>
            <a:solidFill>
              <a:srgbClr val="086E76"/>
            </a:solidFill>
          </c:spPr>
          <c:invertIfNegative val="1"/>
          <c:cat>
            <c:strRef>
              <c:f>Portfolio!$V$7:$V$13</c:f>
              <c:strCache>
                <c:ptCount val="7"/>
                <c:pt idx="0">
                  <c:v>Demo Bank</c:v>
                </c:pt>
                <c:pt idx="1">
                  <c:v>Demo Technology</c:v>
                </c:pt>
                <c:pt idx="2">
                  <c:v>Demo Healthcare</c:v>
                </c:pt>
                <c:pt idx="3">
                  <c:v>Demo Industry</c:v>
                </c:pt>
                <c:pt idx="4">
                  <c:v>Demo Broad ETF</c:v>
                </c:pt>
                <c:pt idx="5">
                  <c:v>Demo Bond ETF</c:v>
                </c:pt>
                <c:pt idx="6">
                  <c:v>Cash</c:v>
                </c:pt>
              </c:strCache>
            </c:strRef>
          </c:cat>
          <c:val>
            <c:numRef>
              <c:f>Portfolio!$W$7:$W$13</c:f>
              <c:numCache>
                <c:formatCode>General</c:formatCode>
                <c:ptCount val="7"/>
                <c:pt idx="0">
                  <c:v>9.3504373517351705E-2</c:v>
                </c:pt>
                <c:pt idx="1">
                  <c:v>0.21834388741183458</c:v>
                </c:pt>
                <c:pt idx="2">
                  <c:v>0.13050477431331081</c:v>
                </c:pt>
                <c:pt idx="3">
                  <c:v>0.11184363588596652</c:v>
                </c:pt>
                <c:pt idx="4">
                  <c:v>0.23388323933206587</c:v>
                </c:pt>
                <c:pt idx="5">
                  <c:v>0.11806340425632458</c:v>
                </c:pt>
                <c:pt idx="6">
                  <c:v>9.3856685283145697E-2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9FA2-4351-96F5-F8237BA92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in val="0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;\(0.0%\);&quot;-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Performance_Chart_1" descr="Cash-flow-adjusted growth (start 100). The source table is available on this worksheet or its supporting calculation sheet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16</xdr:col>
      <xdr:colOff>0</xdr:colOff>
      <xdr:row>32</xdr:row>
      <xdr:rowOff>0</xdr:rowOff>
    </xdr:to>
    <xdr:graphicFrame macro="">
      <xdr:nvGraphicFramePr>
        <xdr:cNvPr id="3" name="Performance_Chart_2" descr="Portfolio drawdown. The source table is available on this worksheet or its supporting calculation sheet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12</xdr:col>
      <xdr:colOff>0</xdr:colOff>
      <xdr:row>39</xdr:row>
      <xdr:rowOff>0</xdr:rowOff>
    </xdr:to>
    <xdr:graphicFrame macro="">
      <xdr:nvGraphicFramePr>
        <xdr:cNvPr id="2" name="Chart" descr="Split-adjusted daily closing price and trailing 50-session average in INR for the selected stock and chart range. Daily data and calculation table begins at B44 on this sheet. Dividends excluded. Missing observations are gaps, never zero.">
          <a:extLst>
            <a:ext uri="{FF2B5EF4-FFF2-40B4-BE49-F238E27FC236}">
              <a16:creationId xmlns:a16="http://schemas.microsoft.com/office/drawing/2014/main" id="{49F0818E-76FB-4016-8E2B-5523FD973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2" name="Overview_Chart_1" descr="Growth after cash-flow adjustment. The source table is available on this worksheet or its supporting calculation sheet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14</xdr:row>
      <xdr:rowOff>0</xdr:rowOff>
    </xdr:from>
    <xdr:to>
      <xdr:col>16</xdr:col>
      <xdr:colOff>0</xdr:colOff>
      <xdr:row>29</xdr:row>
      <xdr:rowOff>0</xdr:rowOff>
    </xdr:to>
    <xdr:graphicFrame macro="">
      <xdr:nvGraphicFramePr>
        <xdr:cNvPr id="3" name="Overview_Chart_2" descr="Portfolio allocation. The source table is available on this worksheet or its supporting calculation sheet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refreshOnLoad="1" growShrinkType="overwriteClear" adjustColumnWidth="0" connectionId="1" xr16:uid="{F11B7E4A-70E2-41CE-B853-9CFA9B1C208B}" autoFormatId="16" applyNumberFormats="0" applyBorderFormats="0" applyFontFormats="1" applyPatternFormats="1" applyAlignmentFormats="0" applyWidthHeightFormats="0">
  <queryTableRefresh nextId="22" unboundColumnsRight="12">
    <queryTableFields count="21">
      <queryTableField id="1" name="EventID" tableColumnId="10"/>
      <queryTableField id="2" name="Date" tableColumnId="11"/>
      <queryTableField id="3" name="Portfolio" tableColumnId="12"/>
      <queryTableField id="4" name="Type" tableColumnId="13"/>
      <queryTableField id="5" name="Instrument" tableColumnId="14"/>
      <queryTableField id="6" name="Quantity" tableColumnId="15"/>
      <queryTableField id="7" name="Price" tableColumnId="16"/>
      <queryTableField id="8" name="Amount" tableColumnId="17"/>
      <queryTableField id="9" name="Fees" tableColumnId="18"/>
      <queryTableField id="10" dataBound="0" tableColumnId="19"/>
      <queryTableField id="11" dataBound="0" tableColumnId="20"/>
      <queryTableField id="12" dataBound="0" tableColumnId="21"/>
      <queryTableField id="13" dataBound="0" tableColumnId="22"/>
      <queryTableField id="14" dataBound="0" tableColumnId="23"/>
      <queryTableField id="15" dataBound="0" tableColumnId="24"/>
      <queryTableField id="16" dataBound="0" tableColumnId="25"/>
      <queryTableField id="17" dataBound="0" tableColumnId="26"/>
      <queryTableField id="18" dataBound="0" tableColumnId="27"/>
      <queryTableField id="19" dataBound="0" tableColumnId="28"/>
      <queryTableField id="20" dataBound="0" tableColumnId="29"/>
      <queryTableField id="21" dataBound="0" tableColumnId="3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refreshOnLoad="1" growShrinkType="overwriteClear" adjustColumnWidth="0" connectionId="2" xr16:uid="{C9CD554C-C56B-45B7-AA44-3C43B8CEB28C}" autoFormatId="16" applyNumberFormats="0" applyBorderFormats="0" applyFontFormats="1" applyPatternFormats="1" applyAlignmentFormats="0" applyWidthHeightFormats="0">
  <queryTableRefresh nextId="5">
    <queryTableFields count="4">
      <queryTableField id="1" name="Instrument" tableColumnId="5"/>
      <queryTableField id="2" name="Price" tableColumnId="6"/>
      <queryTableField id="3" name="ObservedAt" tableColumnId="7"/>
      <queryTableField id="4" name="RefreshedAt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refreshOnLoad="1" growShrinkType="overwriteClear" adjustColumnWidth="0" connectionId="3" xr16:uid="{981F230E-11ED-40FA-9929-80CC10B64C48}" autoFormatId="16" applyNumberFormats="0" applyBorderFormats="0" applyFontFormats="1" applyPatternFormats="1" applyAlignmentFormats="0" applyWidthHeightFormats="0">
  <queryTableRefresh nextId="8">
    <queryTableFields count="7">
      <queryTableField id="1" name="Instrument" tableColumnId="8"/>
      <queryTableField id="2" name="Price" tableColumnId="9"/>
      <queryTableField id="3" name="ObservedAt" tableColumnId="10"/>
      <queryTableField id="4" name="RefreshedAt" tableColumnId="11"/>
      <queryTableField id="5" name="FollowSet" tableColumnId="12"/>
      <queryTableField id="6" name="Status" tableColumnId="13"/>
      <queryTableField id="7" name="AttemptedAt" tableColumnId="1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refreshOnLoad="1" growShrinkType="overwriteClear" adjustColumnWidth="0" connectionId="4" xr16:uid="{00F61293-2123-40EA-86C3-E31A70D7E173}" autoFormatId="16" applyNumberFormats="0" applyBorderFormats="0" applyFontFormats="1" applyPatternFormats="1" applyAlignmentFormats="0" applyWidthHeightFormats="0">
  <queryTableRefresh nextId="15">
    <queryTableFields count="14">
      <queryTableField id="1" name="RowType" tableColumnId="15"/>
      <queryTableField id="2" name="SourceID" tableColumnId="16"/>
      <queryTableField id="3" name="Publisher" tableColumnId="17"/>
      <queryTableField id="4" name="PublishedAt" tableColumnId="18"/>
      <queryTableField id="5" name="Headline" tableColumnId="19"/>
      <queryTableField id="6" name="Industries" tableColumnId="20"/>
      <queryTableField id="7" name="MatchReason" tableColumnId="21"/>
      <queryTableField id="8" name="URL" tableColumnId="22"/>
      <queryTableField id="9" name="State" tableColumnId="23"/>
      <queryTableField id="10" name="ItemCount" tableColumnId="24"/>
      <queryTableField id="11" name="Rejected" tableColumnId="25"/>
      <queryTableField id="12" name="RefreshedAt" tableColumnId="26"/>
      <queryTableField id="13" name="Mode" tableColumnId="27"/>
      <queryTableField id="14" name="SettingsKey" tableColumnId="2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EB4F3E-7A8A-4141-91B7-5B17A7BBCB8A}" name="LedgerData" displayName="LedgerData" ref="A6:U42" tableType="queryTable" totalsRowShown="0" headerRowDxfId="84" dataDxfId="83">
  <autoFilter ref="A6:U42" xr:uid="{D4EB4F3E-7A8A-4141-91B7-5B17A7BBCB8A}"/>
  <tableColumns count="21">
    <tableColumn id="10" xr3:uid="{FB2B2653-B3E8-45F5-B376-FA0C22515AAE}" uniqueName="10" name="EventID" queryTableFieldId="1" dataDxfId="43"/>
    <tableColumn id="11" xr3:uid="{6AB162C1-8AF8-4D28-AAE5-4042BBE81214}" uniqueName="11" name="Date" queryTableFieldId="2" dataDxfId="42"/>
    <tableColumn id="12" xr3:uid="{5E82F2BF-6199-47D2-B293-564387E2A3DA}" uniqueName="12" name="Portfolio" queryTableFieldId="3" dataDxfId="41"/>
    <tableColumn id="13" xr3:uid="{E170C0B7-549C-44B9-9E6F-99AA0C4365A3}" uniqueName="13" name="Type" queryTableFieldId="4" dataDxfId="40"/>
    <tableColumn id="14" xr3:uid="{DFB95FC0-393B-4287-86F3-386FE55A325E}" uniqueName="14" name="Instrument" queryTableFieldId="5" dataDxfId="39"/>
    <tableColumn id="15" xr3:uid="{69362C25-B9C1-4DE8-8E9D-41E65212956B}" uniqueName="15" name="Quantity" queryTableFieldId="6" dataDxfId="38"/>
    <tableColumn id="16" xr3:uid="{8D876A82-DFCF-421E-8157-53C837941E2A}" uniqueName="16" name="Price" queryTableFieldId="7" dataDxfId="37"/>
    <tableColumn id="17" xr3:uid="{9879E87B-FADB-4E0B-8045-4192BEC2D5DF}" uniqueName="17" name="Amount" queryTableFieldId="8" dataDxfId="36"/>
    <tableColumn id="18" xr3:uid="{F64D3971-D161-48CF-94AA-D1516748942A}" uniqueName="18" name="Fees" queryTableFieldId="9" dataDxfId="35"/>
    <tableColumn id="19" xr3:uid="{9451492C-F0F2-4AD3-8D9C-2E0CE367E084}" uniqueName="19" name="UnitsDelta" queryTableFieldId="10" dataDxfId="34">
      <calculatedColumnFormula>IF(D7="BUY",F7,IF(D7="SELL",-F7,IF(OR(D7="SPLIT",D7="BONUS"),F7,0)))</calculatedColumnFormula>
    </tableColumn>
    <tableColumn id="20" xr3:uid="{6765F6AC-D5A0-42C7-8502-8835EFE4A547}" uniqueName="20" name="CashDelta" queryTableFieldId="11" dataDxfId="33">
      <calculatedColumnFormula>IF(D7="BUY",-F7*G7-I7,IF(D7="SELL",F7*G7-I7,IF(D7="DEPOSIT",H7,IF(D7="WITHDRAW",-H7,IF(D7="DIVIDEND",H7-I7,IF(D7="FEE",-H7-I7,0))))))</calculatedColumnFormula>
    </tableColumn>
    <tableColumn id="21" xr3:uid="{0726D86A-00F4-4914-A936-A88DEB9B78A0}" uniqueName="21" name="ExternalFlow" queryTableFieldId="12" dataDxfId="32">
      <calculatedColumnFormula>IF(D7="DEPOSIT",H7,IF(D7="WITHDRAW",-H7,0))</calculatedColumnFormula>
    </tableColumn>
    <tableColumn id="22" xr3:uid="{B6982EED-6927-404C-9509-AF0AADFA278F}" uniqueName="22" name="PriorUnits" queryTableFieldId="13" dataDxfId="31">
      <calculatedColumnFormula>SUMIFS($J$6:J6,$C$6:C6,C7,$E$6:E6,E7)</calculatedColumnFormula>
    </tableColumn>
    <tableColumn id="23" xr3:uid="{0119933B-B951-4567-843B-DE22DC4E4180}" uniqueName="23" name="PriorCost" queryTableFieldId="14" dataDxfId="30">
      <calculatedColumnFormula>SUMIFS($O$6:O6,$C$6:C6,C7,$E$6:E6,E7)</calculatedColumnFormula>
    </tableColumn>
    <tableColumn id="24" xr3:uid="{37696E9C-9860-407D-B666-BBF7C03A7C24}" uniqueName="24" name="CostChange" queryTableFieldId="15" dataDxfId="29">
      <calculatedColumnFormula>IF(D7="BUY",F7*G7+I7,IF(D7="SELL",IF(M7&gt;0,-F7*N7/M7,NA()),0))</calculatedColumnFormula>
    </tableColumn>
    <tableColumn id="25" xr3:uid="{12E3BBE5-4FD6-48EC-91F2-170554E60EBB}" uniqueName="25" name="RealizedPnL" queryTableFieldId="16" dataDxfId="28">
      <calculatedColumnFormula>IF(D7="SELL",F7*G7-I7+O7,0)</calculatedColumnFormula>
    </tableColumn>
    <tableColumn id="26" xr3:uid="{AA1870BC-55F2-4A54-8A30-F279EC47307B}" uniqueName="26" name="PositionAfter" queryTableFieldId="17" dataDxfId="27">
      <calculatedColumnFormula>M7+J7</calculatedColumnFormula>
    </tableColumn>
    <tableColumn id="27" xr3:uid="{0BC1DF00-3C7E-478A-BCA9-85AE041D371A}" uniqueName="27" name="CostAfter" queryTableFieldId="18" dataDxfId="26">
      <calculatedColumnFormula>N7+O7</calculatedColumnFormula>
    </tableColumn>
    <tableColumn id="28" xr3:uid="{75C0F0E9-40CC-46B9-A0D3-0D6C9FE339E3}" uniqueName="28" name="RecordStatus" queryTableFieldId="19" dataDxfId="25">
      <calculatedColumnFormula>IF(OR(F7&lt;0,G7&lt;0,H7&lt;0,I7&lt;0),"Review negative input",IF(Q7&lt;-0.000001,"Review short position",IF(SUMIFS($K$7:K7,$C$7:C7,C7)&lt;-0.01,"Review negative cash",IF(COUNTIFS(History!$A$7:$A$136,B7)=0,"Review date","OK"))))</calculatedColumnFormula>
    </tableColumn>
    <tableColumn id="29" xr3:uid="{FC363927-7134-4C2C-B874-038FFD2438EA}" uniqueName="29" name="SourceKey" queryTableFieldId="20" dataDxfId="24">
      <calculatedColumnFormula>A7&amp;"|"&amp;TEXT(B7,"yyyy-mm-dd")&amp;"|"&amp;C7&amp;"|"&amp;D7&amp;"|"&amp;E7&amp;"|"&amp;TEXT(F7,"0.##############")&amp;"|"&amp;TEXT(G7,"0.##############")&amp;"|"&amp;TEXT(H7,"0.##############")&amp;"|"&amp;TEXT(I7,"0.##############")</calculatedColumnFormula>
    </tableColumn>
    <tableColumn id="30" xr3:uid="{77778DC5-6A30-4345-98F2-D91613952A87}" uniqueName="30" name="InputMatch" queryTableFieldId="21" dataDxfId="23">
      <calculatedColumnFormula>IF(COUNTIFS(Transactions!$A$7:$A$1006,A7,Transactions!$J$7:$J$1006,T7)&gt;0,"Matched","Refresh required")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DemoHistory" displayName="DemoHistory" ref="A6:H136" totalsRowShown="0">
  <autoFilter ref="A6:H136" xr:uid="{00000000-0009-0000-0100-000001000000}"/>
  <tableColumns count="8">
    <tableColumn id="1" xr3:uid="{00000000-0010-0000-0100-000001000000}" name="Date"/>
    <tableColumn id="2" xr3:uid="{00000000-0010-0000-0100-000002000000}" name="SYN_BANK"/>
    <tableColumn id="3" xr3:uid="{00000000-0010-0000-0100-000003000000}" name="SYN_TECH"/>
    <tableColumn id="4" xr3:uid="{00000000-0010-0000-0100-000004000000}" name="SYN_HEALTH"/>
    <tableColumn id="5" xr3:uid="{00000000-0010-0000-0100-000005000000}" name="SYN_INDUSTRY"/>
    <tableColumn id="6" xr3:uid="{00000000-0010-0000-0100-000006000000}" name="SYN_BROAD_ETF"/>
    <tableColumn id="7" xr3:uid="{00000000-0010-0000-0100-000007000000}" name="SYN_BOND_ETF"/>
    <tableColumn id="8" xr3:uid="{00000000-0010-0000-0100-000008000000}" name="BENCH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DemoInstruments" displayName="DemoInstruments" ref="K6:N12" totalsRowShown="0">
  <autoFilter ref="K6:N12" xr:uid="{00000000-0009-0000-0100-000002000000}"/>
  <tableColumns count="4">
    <tableColumn id="1" xr3:uid="{00000000-0010-0000-0200-000001000000}" name="Instrument"/>
    <tableColumn id="2" xr3:uid="{00000000-0010-0000-0200-000002000000}" name="Name"/>
    <tableColumn id="3" xr3:uid="{00000000-0010-0000-0200-000003000000}" name="Type"/>
    <tableColumn id="4" xr3:uid="{00000000-0010-0000-0200-000004000000}" name="Secto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FA29435-90B0-4B4B-AB9A-8AB05068170A}" name="QuoteData" displayName="QuoteData" ref="A6:D12" tableType="queryTable" totalsRowShown="0" headerRowDxfId="82" dataDxfId="81">
  <autoFilter ref="A6:D12" xr:uid="{CFA29435-90B0-4B4B-AB9A-8AB05068170A}"/>
  <tableColumns count="4">
    <tableColumn id="5" xr3:uid="{F4C86DFC-85D4-408B-80F4-D7ECD77EF137}" uniqueName="5" name="Instrument" queryTableFieldId="1" dataDxfId="22"/>
    <tableColumn id="6" xr3:uid="{28F26D82-30A7-494C-BF1A-9261CED997B7}" uniqueName="6" name="Price" queryTableFieldId="2" dataDxfId="21"/>
    <tableColumn id="7" xr3:uid="{30094E6D-0B34-4F83-8C20-4555F8ED6ED0}" uniqueName="7" name="ObservedAt" queryTableFieldId="3" dataDxfId="20"/>
    <tableColumn id="8" xr3:uid="{9377C797-E50C-4357-AC79-1094489610E8}" uniqueName="8" name="RefreshedAt" queryTableFieldId="4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B6905A-9E4D-4DD3-82EB-D2BA08EFE3BB}" name="FastQuoteData" displayName="FastQuoteData" ref="A6:G8" tableType="queryTable" totalsRowShown="0" headerRowDxfId="80" dataDxfId="79">
  <autoFilter ref="A6:G8" xr:uid="{35B6905A-9E4D-4DD3-82EB-D2BA08EFE3BB}"/>
  <tableColumns count="7">
    <tableColumn id="8" xr3:uid="{CC432F9B-F43C-41DA-B4DF-402A35A93C97}" uniqueName="8" name="Instrument" queryTableFieldId="1" dataDxfId="18"/>
    <tableColumn id="9" xr3:uid="{EC712DF8-C27E-467A-B642-C59347299E64}" uniqueName="9" name="Price" queryTableFieldId="2" dataDxfId="17"/>
    <tableColumn id="10" xr3:uid="{A1C6B8BF-7280-4CDA-BD0C-1C6D80DA4808}" uniqueName="10" name="ObservedAt" queryTableFieldId="3" dataDxfId="16"/>
    <tableColumn id="11" xr3:uid="{3F1682A9-EFF7-4D81-BF56-5951EBA2731D}" uniqueName="11" name="RefreshedAt" queryTableFieldId="4" dataDxfId="15"/>
    <tableColumn id="12" xr3:uid="{3505A24A-362E-4359-B1A1-40AD6B52A532}" uniqueName="12" name="FollowSet" queryTableFieldId="5" dataDxfId="14"/>
    <tableColumn id="13" xr3:uid="{0C72DF00-BA4E-4428-AD17-F0B1AFB5C902}" uniqueName="13" name="Status" queryTableFieldId="6" dataDxfId="13"/>
    <tableColumn id="14" xr3:uid="{BF378AC3-CB80-4D81-BA83-4FE72D635ED5}" uniqueName="14" name="AttemptedAt" queryTableFieldId="7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82CF4B-C67E-46CF-9A4A-771E6B083035}" name="WatchSettings" displayName="WatchSettings" ref="A7:K13" totalsRowShown="0">
  <tableColumns count="11">
    <tableColumn id="1" xr3:uid="{15AB808F-CDC4-49E1-8CB1-76B542D80B34}" name="Instrument"/>
    <tableColumn id="2" xr3:uid="{FE160F5A-B16C-4A59-B0E8-E5BF1EE91354}" name="Stock / ETF" dataDxfId="94"/>
    <tableColumn id="3" xr3:uid="{C5EA7075-F9ED-41F9-87DB-8FC24254EEDB}" name="Follow" dataDxfId="93"/>
    <tableColumn id="4" xr3:uid="{F40150C5-9F53-4BA9-8357-5C44E332D57D}" name="Price (INR)" dataDxfId="92">
      <calculatedColumnFormula>IF(NOT(W8),"",IF(U8,Q8,IF(N8&gt;0,N8,"")))</calculatedColumnFormula>
    </tableColumn>
    <tableColumn id="5" xr3:uid="{FE1B6789-FE4B-47EB-A9E2-E0E76D71FC75}" name="Day change" dataDxfId="91">
      <calculatedColumnFormula>IFERROR(IF(ISNUMBER(D8),D8/INDEX(History!$B$135:$G$135,1,MATCH(A8,History!$B$6:$G$6,0))-1,""),"")</calculatedColumnFormula>
    </tableColumn>
    <tableColumn id="6" xr3:uid="{7B79054D-F523-451B-A543-0689AD271388}" name="Refresh" dataDxfId="90">
      <calculatedColumnFormula>IF(W8,IF(C8="Yes",1,5),"")</calculatedColumnFormula>
    </tableColumn>
    <tableColumn id="7" xr3:uid="{1E365BA7-F856-40F7-8540-0801B7C02AC1}" name="Updated" dataDxfId="89">
      <calculatedColumnFormula>IF(NOT(W8),"",IF(U8,S8,IF(P8&gt;0,P8,"")))</calculatedColumnFormula>
    </tableColumn>
    <tableColumn id="8" xr3:uid="{ED12FCD3-1C38-4196-A938-8D94E03E2288}" name="Status" dataDxfId="88">
      <calculatedColumnFormula>IF(X8="Synthetic snapshot","Demo price",IF(X8="Follow change: refresh","Waiting for update",IF(X8="Fast quote unavailable","Using 5-min backup",IF(X8="Fast refresh overdue","1-min update overdue",IF(X8="Unknown demo instrument","Unknown stock code",IF(X8="Duplicate instrument","Duplicate stock",X8))))))</calculatedColumnFormula>
    </tableColumn>
    <tableColumn id="9" xr3:uid="{7DE44557-1968-474B-9208-3747E1214AE1}" name="Notes" dataDxfId="87"/>
    <tableColumn id="10" xr3:uid="{E440578D-D383-4A5A-B51B-4A20D8EDA593}" name="Price observed" dataDxfId="86">
      <calculatedColumnFormula>IF(NOT(W8),"",IF(U8,R8,IF(O8&gt;0,O8,"")))</calculatedColumnFormula>
    </tableColumn>
    <tableColumn id="11" xr3:uid="{529EAB1D-B404-420D-8532-6C583B53AAAB}" name="Quote source" dataDxfId="85">
      <calculatedColumnFormula>IF(NOT(W8),"",IF(U8,"1-min",IF(N8&gt;0,"5-min","None")))</calculatedColumnFormula>
    </tableColumn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52DA505-4343-4B2A-890C-6F642653A0A9}" name="StockDaily" displayName="StockDaily" ref="A44:H1044" totalsRowShown="0">
  <tableColumns count="8">
    <tableColumn id="1" xr3:uid="{956DE890-A82D-4A89-9180-F1DFF1AAB26C}" name="Index"/>
    <tableColumn id="2" xr3:uid="{C3DED93C-6CDC-46F1-A9D4-A5023906325B}" name="Date">
      <calculatedColumnFormula>IF($A45&gt;MIN($A$10,$A$2),"",INDEX(DemoHistory[Date],$A45))</calculatedColumnFormula>
    </tableColumn>
    <tableColumn id="3" xr3:uid="{C10CF6AC-4B06-4FCF-BE65-E0C295577D30}" name="Raw close">
      <calculatedColumnFormula>IF(OR($A45&gt;MIN($A$10,$A$2),$A$5=""),"",INDEX(DemoHistory[],$A45,MATCH($A$5,DemoHistory[#Headers],0)))</calculatedColumnFormula>
    </tableColumn>
    <tableColumn id="4" xr3:uid="{F6CE7F11-B32F-4D08-B664-F710DA8911C7}" name="Split divisor">
      <calculatedColumnFormula>IF($A45&gt;MIN($A$10,$A$2),"",IF(AND($A$12,$A$6=1,B45&lt;$A$7,$A$7&lt;=MAX(DemoHistory[Date])),$A$8,1))</calculatedColumnFormula>
    </tableColumn>
    <tableColumn id="5" xr3:uid="{DC8BF2EA-4BC9-433E-880F-DAB843E8EB89}" name="Adjusted close">
      <calculatedColumnFormula>IF($A45&gt;MIN($A$10,$A$2),"",IF(H45="OK",C45/D45,"n.a."))</calculatedColumnFormula>
    </tableColumn>
    <tableColumn id="6" xr3:uid="{CBB8D3F5-F801-4B86-BFAC-46A16A57D540}" name="50-session average">
      <calculatedColumnFormula>IF($A45&gt;MIN($A$10,$A$2),"",IF($A45&lt;50,"n.a.",IF(COUNT(INDEX(StockDaily[Adjusted close],MAX(1,$A45-50+1)):E45)=50,AVERAGE(INDEX(StockDaily[Adjusted close],MAX(1,$A45-50+1)):E45),"n.a.")))</calculatedColumnFormula>
    </tableColumn>
    <tableColumn id="7" xr3:uid="{312812E8-96C2-439F-89E5-98C4E55A05DD}" name="200-session average">
      <calculatedColumnFormula>IF($A45&gt;MIN($A$10,$A$2),"",IF($A45&lt;200,"n.a.",IF(COUNT(INDEX(StockDaily[Adjusted close],MAX(1,$A45-200+1)):E45)=200,AVERAGE(INDEX(StockDaily[Adjusted close],MAX(1,$A45-200+1)):E45),"n.a.")))</calculatedColumnFormula>
    </tableColumn>
    <tableColumn id="8" xr3:uid="{A6B694EA-3109-4EAF-A197-4D85E964CDC1}" name="Row status">
      <calculatedColumnFormula>IF($A45&gt;MIN($A$10,$A$2),"",IF($A$5="","Choose stock",IF(NOT($A$12),"Check split rule",IF(NOT(ISNUMBER(B45)),"Invalid date",IF(OR(B45&lt;=0,B45&lt;&gt;INT(B45)),"Invalid date",IF(COUNTIFS(DemoHistory[Date],B45)&lt;&gt;1,"Duplicate date",IF(AND($A45&gt;1,B45&lt;=B44),"Dates out of order",IF(NOT(ISNUMBER(C45)),"Missing price",IF(C45&lt;=0,"Nonpositive price","OK")))))))))</calculatedColumnFormula>
    </tableColumn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E71909A-D447-4756-B7A0-3E7902A166CB}" name="StockSplitRules" displayName="StockSplitRules" ref="J44:L45" totalsRowShown="0">
  <tableColumns count="3">
    <tableColumn id="1" xr3:uid="{0398FF2F-5560-4F5F-AA10-5F5080AB07DE}" name="Instrument"/>
    <tableColumn id="2" xr3:uid="{67FCE477-E781-4DA5-A0BD-4953DA873CBF}" name="Split date"/>
    <tableColumn id="3" xr3:uid="{B9B79CEF-00A4-4515-A3AB-1B54ABEF3816}" name="New / old shares"/>
  </tableColumns>
  <tableStyleInfo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BEE1285-8A78-4C5A-B29F-83A37AB29EFF}" name="PlanInputs" displayName="PlanInputs" ref="A19:I25" totalsRowShown="0">
  <tableColumns count="9">
    <tableColumn id="1" xr3:uid="{0A9D3534-50F2-403C-84EC-67E6E0962F45}" name="PlanID"/>
    <tableColumn id="2" xr3:uid="{822AED0D-EE98-490F-98C0-323DAE65EE72}" name="Stock / ETF"/>
    <tableColumn id="3" xr3:uid="{B72DBDE8-3211-4C85-973A-43BB4B7EA1CE}" name="Entry" dataDxfId="78"/>
    <tableColumn id="4" xr3:uid="{2C288B9B-AB5B-4757-B5B4-DCC2FEE53223}" name="Stop" dataDxfId="77"/>
    <tableColumn id="5" xr3:uid="{F3B7FCF7-29B4-4A07-B967-F28EE85308A1}" name="Target" dataDxfId="76"/>
    <tableColumn id="6" xr3:uid="{8101F5BE-960B-49E2-A393-C8B0EC6372F6}" name="Risk budget" dataDxfId="75"/>
    <tableColumn id="7" xr3:uid="{334F4D67-59FB-4FCE-AFAF-800464C7CB74}" name="Cash budget" dataDxfId="74"/>
    <tableColumn id="8" xr3:uid="{2A20698F-C08F-4666-9F56-94D35E639B6A}" name="Reason / notes"/>
    <tableColumn id="9" xr3:uid="{14388BF6-C895-47A5-92E8-27BA1372CC32}" name="Review date"/>
  </tableColumns>
  <tableStyleInfo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F771C1E-F4DD-45E7-B232-4A9B9D33AA9C}" name="PlanCosts" displayName="PlanCosts" ref="A30:I36" totalsRowShown="0">
  <tableColumns count="9">
    <tableColumn id="1" xr3:uid="{679D8312-E802-4741-A95D-869FEB22F236}" name="PlanID"/>
    <tableColumn id="2" xr3:uid="{183AB363-BEBF-443D-BF34-70904349879F}" name="Stock / ETF"/>
    <tableColumn id="3" xr3:uid="{62FB2F7F-4FD4-45A2-BB37-477694AC4CE9}" name="Entry charges"/>
    <tableColumn id="4" xr3:uid="{E9CAE8A0-A897-4589-80A1-99B09C56D62E}" name="Stop exit charges"/>
    <tableColumn id="5" xr3:uid="{1875E57D-1BDB-4B8D-B44B-97E0C7551396}" name="Target exit charges"/>
    <tableColumn id="6" xr3:uid="{E3961A9D-51F6-489C-97C8-268695D5C4A6}" name="Loss / share" dataDxfId="73">
      <calculatedColumnFormula>IF(I31&lt;&gt;"Valid","n.a.",INDEX(PlanInputs[Entry],MATCH($A31,PlanInputs[PlanID],0))-INDEX(PlanInputs[Stop],MATCH($A31,PlanInputs[PlanID],0)))</calculatedColumnFormula>
    </tableColumn>
    <tableColumn id="7" xr3:uid="{C274EB27-DA49-4683-8E52-5815C1DBD3B9}" name="Risk after charges" dataDxfId="72">
      <calculatedColumnFormula>IF(I31&lt;&gt;"Valid","n.a.",INDEX(PlanInputs[Risk budget],MATCH($A31,PlanInputs[PlanID],0))-C31-D31)</calculatedColumnFormula>
    </tableColumn>
    <tableColumn id="8" xr3:uid="{812C2F90-DFDF-4943-A941-6EE58C24ABAD}" name="Cash after entry fees" dataDxfId="71">
      <calculatedColumnFormula>IF(I31&lt;&gt;"Valid","n.a.",INDEX(PlanInputs[Cash budget],MATCH($A31,PlanInputs[PlanID],0))-C31)</calculatedColumnFormula>
    </tableColumn>
    <tableColumn id="9" xr3:uid="{0A0D891A-1D3B-4ED1-8D00-FC2D4CE31EF8}" name="Input check" dataDxfId="70">
      <calculatedColumnFormula>IF(COUNTIFS(PlanInputs[PlanID],$A31)&lt;&gt;1,"Plan key missing or duplicate",IF(COUNTIFS(PlanCosts[PlanID],$A31)&lt;&gt;1,"Charges key duplicated",IF(OR(COUNT(INDEX(PlanInputs[[Entry]:[Cash budget]],MATCH($A31,PlanInputs[PlanID],0),0))&lt;&gt;5,COUNT(C31:E31)&lt;&gt;3),"Enter all prices, budgets and charges",IF(MIN(C31:E31)&lt;0,"Charges must be zero or positive",IF(OR(INDEX(PlanInputs[Entry],MATCH($A31,PlanInputs[PlanID],0))&lt;=0,INDEX(PlanInputs[Stop],MATCH($A31,PlanInputs[PlanID],0))&lt;=0,INDEX(PlanInputs[Target],MATCH($A31,PlanInputs[PlanID],0))&lt;=0,INDEX(PlanInputs[Risk budget],MATCH($A31,PlanInputs[PlanID],0))&lt;=0,INDEX(PlanInputs[Cash budget],MATCH($A31,PlanInputs[PlanID],0))&lt;=0),"Prices and budgets must be positive",IF(INDEX(PlanInputs[Stop],MATCH($A31,PlanInputs[PlanID],0))&gt;=INDEX(PlanInputs[Entry],MATCH($A31,PlanInputs[PlanID],0)),"Stop must be below entry",IF(INDEX(PlanInputs[Target],MATCH($A31,PlanInputs[PlanID],0))&lt;=INDEX(PlanInputs[Entry],MATCH($A31,PlanInputs[PlanID],0)),"Target must be above entry","Valid")))))))</calculatedColumnFormula>
    </tableColumn>
  </tableColumns>
  <tableStyleInfo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F6695B5-C967-437F-91A8-8D1AA8D5B002}" name="PlanResults" displayName="PlanResults" ref="A41:I47" totalsRowShown="0">
  <tableColumns count="9">
    <tableColumn id="1" xr3:uid="{FAAC0A2F-936B-4683-9589-5212E0C13B51}" name="PlanID"/>
    <tableColumn id="2" xr3:uid="{1C96C73D-55D5-487F-8508-A32809A5A59F}" name="Stock / ETF"/>
    <tableColumn id="3" xr3:uid="{71EF44C4-99FE-4A09-8B52-DF85130C768D}" name="Quantity" dataDxfId="69">
      <calculatedColumnFormula>IF(COUNTIFS(PlanCosts[PlanID],$A42)&lt;&gt;1,"n.a.",IF(INDEX(PlanCosts[Input check],MATCH($A42,PlanCosts[PlanID],0))&lt;&gt;"Valid","n.a.",MAX(0,ROUNDDOWN(MIN(INDEX(PlanCosts[Risk after charges],MATCH($A42,PlanCosts[PlanID],0))/INDEX(PlanCosts[Loss / share],MATCH($A42,PlanCosts[PlanID],0)),INDEX(PlanCosts[Cash after entry fees],MATCH($A42,PlanCosts[PlanID],0))/INDEX(PlanInputs[Entry],MATCH($A42,PlanInputs[PlanID],0))),0))))</calculatedColumnFormula>
    </tableColumn>
    <tableColumn id="4" xr3:uid="{07AD5F0D-B754-4722-8FB4-21B152EB83F1}" name="Cash needed" dataDxfId="68">
      <calculatedColumnFormula>IF(NOT(ISNUMBER(C42)),"n.a.",IF(C42=0,"n.a.",C42*INDEX(PlanInputs[Entry],MATCH($A42,PlanInputs[PlanID],0))+INDEX(PlanCosts[Entry charges],MATCH($A42,PlanCosts[PlanID],0))))</calculatedColumnFormula>
    </tableColumn>
    <tableColumn id="5" xr3:uid="{EB62AC15-7F38-4154-9BF2-F4AA9F7E785C}" name="Loss at stop" dataDxfId="67">
      <calculatedColumnFormula>IF(NOT(ISNUMBER(C42)),"n.a.",IF(C42=0,"n.a.",C42*INDEX(PlanCosts[Loss / share],MATCH($A42,PlanCosts[PlanID],0))+INDEX(PlanCosts[Entry charges],MATCH($A42,PlanCosts[PlanID],0))+INDEX(PlanCosts[Stop exit charges],MATCH($A42,PlanCosts[PlanID],0))))</calculatedColumnFormula>
    </tableColumn>
    <tableColumn id="6" xr3:uid="{10D7487B-E59F-45E6-8A4A-7F105A170CB6}" name="Net target gain" dataDxfId="66">
      <calculatedColumnFormula>IF(NOT(ISNUMBER(C42)),"n.a.",IF(C42=0,"n.a.",C42*(INDEX(PlanInputs[Target],MATCH($A42,PlanInputs[PlanID],0))-INDEX(PlanInputs[Entry],MATCH($A42,PlanInputs[PlanID],0)))-INDEX(PlanCosts[Entry charges],MATCH($A42,PlanCosts[PlanID],0))-INDEX(PlanCosts[Target exit charges],MATCH($A42,PlanCosts[PlanID],0))))</calculatedColumnFormula>
    </tableColumn>
    <tableColumn id="7" xr3:uid="{4C647C67-03F6-4D81-AE2B-9C24DB2C16D1}" name="Reward / risk" dataDxfId="65">
      <calculatedColumnFormula>IF(NOT(ISNUMBER(E42)),"n.a.",IF(E42&lt;=0,"n.a.",F42/E42))</calculatedColumnFormula>
    </tableColumn>
    <tableColumn id="8" xr3:uid="{FC3E9565-370D-45A7-87C9-77496E3CA816}" name="Plan status" dataDxfId="64">
      <calculatedColumnFormula>IF(COUNTIFS(PlanCosts[PlanID],$A42)&lt;&gt;1,"Charges key missing or duplicate",IF(INDEX(PlanCosts[Input check],MATCH($A42,PlanCosts[PlanID],0))&lt;&gt;"Valid",INDEX(PlanCosts[Input check],MATCH($A42,PlanCosts[PlanID],0)),IF(C42=0,"Budget cannot fund one share",IF(F42&lt;=0,"Target gain consumed by charges","Calculated draft"))))</calculatedColumnFormula>
    </tableColumn>
    <tableColumn id="9" xr3:uid="{7E102019-5622-4170-8FDC-DFF696353601}" name="Cash budget used" dataDxfId="63">
      <calculatedColumnFormula>IF(NOT(ISNUMBER(D42)),"n.a.",D42/INDEX(PlanInputs[Cash budget],MATCH($A42,PlanInputs[PlanID],0)))</calculatedColumnFormula>
    </tableColumn>
  </tableColumns>
  <tableStyleInfo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1853C2B-F4DE-4A1F-A87F-BB107FFA1C75}" name="NewsSources" displayName="NewsSources" ref="B34:E40" totalsRowShown="0">
  <tableColumns count="4">
    <tableColumn id="1" xr3:uid="{8D94F5D0-8285-436D-B393-084D858A874C}" name="SourceID"/>
    <tableColumn id="2" xr3:uid="{60F05D2B-1AF7-4FE7-89FA-D852C2515D39}" name="Publisher"/>
    <tableColumn id="3" xr3:uid="{0FF1A48F-7B09-4579-8BF4-7977B8017CEC}" name="Feed URL"/>
    <tableColumn id="4" xr3:uid="{3E2115E6-8EEE-4595-AEF9-73B57272CEEE}" name="Enabled"/>
  </tableColumns>
  <tableStyleInfo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517D63D-141F-491D-B9AC-AF7430E16910}" name="NewsRules" displayName="NewsRules" ref="B48:C73" totalsRowShown="0">
  <tableColumns count="2">
    <tableColumn id="1" xr3:uid="{2E2BD8BF-44A8-4306-BAD4-2D86FB9F531B}" name="Industry"/>
    <tableColumn id="2" xr3:uid="{7DF7AEC6-C453-4AE0-ADDF-890EF63025B2}" name="Keyword"/>
  </tableColumns>
  <tableStyleInfo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DemoEvents" displayName="DemoEvents" ref="A6:K42" totalsRowShown="0" headerRowDxfId="62">
  <autoFilter ref="A6:K42" xr:uid="{00000000-0009-0000-0100-000003000000}"/>
  <tableColumns count="11">
    <tableColumn id="1" xr3:uid="{00000000-0010-0000-0000-000001000000}" name="EventID" dataDxfId="61"/>
    <tableColumn id="2" xr3:uid="{00000000-0010-0000-0000-000002000000}" name="Date" dataDxfId="60"/>
    <tableColumn id="3" xr3:uid="{00000000-0010-0000-0000-000003000000}" name="Portfolio" dataDxfId="59"/>
    <tableColumn id="4" xr3:uid="{00000000-0010-0000-0000-000004000000}" name="Type" dataDxfId="58"/>
    <tableColumn id="5" xr3:uid="{00000000-0010-0000-0000-000005000000}" name="Instrument" dataDxfId="57"/>
    <tableColumn id="6" xr3:uid="{00000000-0010-0000-0000-000006000000}" name="Quantity" dataDxfId="56"/>
    <tableColumn id="7" xr3:uid="{00000000-0010-0000-0000-000007000000}" name="Price" dataDxfId="55"/>
    <tableColumn id="8" xr3:uid="{00000000-0010-0000-0000-000008000000}" name="Amount" dataDxfId="54"/>
    <tableColumn id="9" xr3:uid="{00000000-0010-0000-0000-000009000000}" name="Fees" dataDxfId="53"/>
    <tableColumn id="10" xr3:uid="{00000000-0010-0000-0000-00000A000000}" name="SourceKey">
      <calculatedColumnFormula>A7&amp;"|"&amp;TEXT(B7,"yyyy-mm-dd")&amp;"|"&amp;C7&amp;"|"&amp;D7&amp;"|"&amp;E7&amp;"|"&amp;TEXT(F7,"0.##############")&amp;"|"&amp;TEXT(G7,"0.##############")&amp;"|"&amp;TEXT(H7,"0.##############")&amp;"|"&amp;TEXT(I7,"0.##############")</calculatedColumnFormula>
    </tableColumn>
    <tableColumn id="11" xr3:uid="{00000000-0010-0000-0000-00000B000000}" name="Import state" dataDxfId="52">
      <calculatedColumnFormula>IF(COUNTIFS(Ledger!$A$7:$A$1006,A7,Ledger!$T$7:$T$1006,J7)=1,"Loaded","Refresh required")</calculatedColumnFormula>
    </tableColumn>
  </tableColumns>
  <tableStyleInfo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F9274EE-3DFC-4A44-A29E-9FCFE490594A}" name="DemoNews" displayName="DemoNews" ref="A1:D12" totalsRowShown="0">
  <tableColumns count="4">
    <tableColumn id="1" xr3:uid="{126AB155-511F-4384-9B53-CA083EE788A5}" name="SourceID"/>
    <tableColumn id="2" xr3:uid="{F33D5154-5D0F-4B80-82C6-20D07A386832}" name="Headline"/>
    <tableColumn id="3" xr3:uid="{839AFE6B-E4B7-4574-B0B6-3229DFB0E489}" name="URL"/>
    <tableColumn id="4" xr3:uid="{B5B30974-E388-48A2-95F5-6A30B5FC8B28}" name="PublishedText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1A4486A-C8AF-40F7-B80C-845EA7FF626D}" name="NewsCache" displayName="NewsCache" ref="A1:N15" tableType="queryTable" totalsRowShown="0">
  <autoFilter ref="A1:N15" xr:uid="{E1A4486A-C8AF-40F7-B80C-845EA7FF626D}"/>
  <tableColumns count="14">
    <tableColumn id="15" xr3:uid="{331E3DB0-C863-4D2F-AF11-50F0779E741E}" uniqueName="15" name="RowType" queryTableFieldId="1" dataDxfId="11"/>
    <tableColumn id="16" xr3:uid="{95E78393-F1FC-4ED9-90CE-C05C500E4AD4}" uniqueName="16" name="SourceID" queryTableFieldId="2" dataDxfId="10"/>
    <tableColumn id="17" xr3:uid="{DC78752B-444C-4A4C-AA0C-0C70C21DCC71}" uniqueName="17" name="Publisher" queryTableFieldId="3" dataDxfId="9"/>
    <tableColumn id="18" xr3:uid="{EF5BB75F-F5EF-486C-9A6B-6EF0A994FBFD}" uniqueName="18" name="PublishedAt" queryTableFieldId="4" dataDxfId="8"/>
    <tableColumn id="19" xr3:uid="{A21F7ACE-1FB2-41B5-B998-FCF063DB873C}" uniqueName="19" name="Headline" queryTableFieldId="5" dataDxfId="7"/>
    <tableColumn id="20" xr3:uid="{AA624CC4-D643-4B5A-853A-CD8E86AA69F7}" uniqueName="20" name="Industries" queryTableFieldId="6" dataDxfId="6"/>
    <tableColumn id="21" xr3:uid="{029633C3-3605-468C-9054-C95856494AF8}" uniqueName="21" name="MatchReason" queryTableFieldId="7" dataDxfId="5"/>
    <tableColumn id="22" xr3:uid="{79A50400-511E-4C4D-925A-2321B433AE08}" uniqueName="22" name="URL" queryTableFieldId="8" dataDxfId="4"/>
    <tableColumn id="23" xr3:uid="{E9AD4ACA-86F8-4443-99A6-79EEFC7FEBB6}" uniqueName="23" name="State" queryTableFieldId="9" dataDxfId="3"/>
    <tableColumn id="24" xr3:uid="{9118246D-10C1-4ADA-A5B9-F2B34568A011}" uniqueName="24" name="ItemCount" queryTableFieldId="10"/>
    <tableColumn id="25" xr3:uid="{7BF4FE2D-EFCC-4B57-8EDB-87005EDF21B4}" uniqueName="25" name="Rejected" queryTableFieldId="11"/>
    <tableColumn id="26" xr3:uid="{5A60B3DA-ACE3-44BD-8F20-F6AE1D73E030}" uniqueName="26" name="RefreshedAt" queryTableFieldId="12" dataDxfId="2"/>
    <tableColumn id="27" xr3:uid="{812A5AD4-A1A4-4447-B6CD-6758D6EE1E0C}" uniqueName="27" name="Mode" queryTableFieldId="13" dataDxfId="1"/>
    <tableColumn id="28" xr3:uid="{256AD7BE-1152-4D78-BCA4-3A606E85802E}" uniqueName="28" name="SettingsKey" queryTableFieldId="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Relationship Id="rId4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livemint.com/rss" TargetMode="External"/><Relationship Id="rId4" Type="http://schemas.openxmlformats.org/officeDocument/2006/relationships/table" Target="../tables/table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13C5A"/>
    <pageSetUpPr fitToPage="1"/>
  </sheetPr>
  <dimension ref="A1:T65"/>
  <sheetViews>
    <sheetView showGridLines="0" zoomScale="90" zoomScaleNormal="90" workbookViewId="0"/>
  </sheetViews>
  <sheetFormatPr defaultRowHeight="14.4" x14ac:dyDescent="0.3"/>
  <cols>
    <col min="1" max="1" width="27" customWidth="1"/>
    <col min="2" max="3" width="13" customWidth="1"/>
    <col min="4" max="4" width="45" customWidth="1"/>
    <col min="5" max="16" width="13" customWidth="1"/>
  </cols>
  <sheetData>
    <row r="1" spans="1:2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9.95" customHeight="1" x14ac:dyDescent="0.3">
      <c r="A2" s="2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9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</row>
    <row r="4" spans="1:20" ht="19.95" customHeight="1" x14ac:dyDescent="0.3">
      <c r="A4" s="5" t="s">
        <v>24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0" ht="19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0" ht="19.95" customHeight="1" x14ac:dyDescent="0.3">
      <c r="A6" s="1" t="s">
        <v>0</v>
      </c>
      <c r="B6" s="1"/>
      <c r="C6" s="1" t="str">
        <f>Portfolio!C5</f>
        <v>Model</v>
      </c>
      <c r="D6" s="1"/>
      <c r="E6" s="1"/>
      <c r="F6" s="1"/>
      <c r="G6" s="1" t="s">
        <v>25</v>
      </c>
      <c r="H6" s="1"/>
      <c r="I6" s="7">
        <f>Portfolio!J5</f>
        <v>46283</v>
      </c>
      <c r="J6" s="1"/>
      <c r="K6" s="1"/>
      <c r="L6" s="1"/>
      <c r="M6" s="1"/>
      <c r="N6" s="1"/>
      <c r="O6" s="1"/>
      <c r="P6" s="1"/>
    </row>
    <row r="7" spans="1:20" ht="19.9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0" ht="28.95" customHeight="1" x14ac:dyDescent="0.3">
      <c r="A8" s="6" t="s">
        <v>26</v>
      </c>
      <c r="B8" s="6" t="s">
        <v>0</v>
      </c>
      <c r="C8" s="6" t="s">
        <v>4</v>
      </c>
      <c r="D8" s="6" t="s">
        <v>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0" ht="34.049999999999997" customHeight="1" x14ac:dyDescent="0.3">
      <c r="A9" s="1" t="s">
        <v>28</v>
      </c>
      <c r="B9" s="18">
        <f>Portfolio!A11</f>
        <v>-1.7176242533562869E-2</v>
      </c>
      <c r="C9" s="18">
        <f>IF(Portfolio!$J$5&lt;Holdings!$G$24,"n.a.",INDEX(Daily!$P$7:$P$136,MATCH(Portfolio!$J$5,Daily!$A$7:$A$136,0))/100-1)</f>
        <v>-3.3758660999999912E-2</v>
      </c>
      <c r="D9" s="13" t="s">
        <v>29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0" ht="34.049999999999997" customHeight="1" x14ac:dyDescent="0.3">
      <c r="A10" s="1" t="s">
        <v>30</v>
      </c>
      <c r="B10" s="18">
        <f>IF(B12&gt;1,STDEV(Daily!$V$7:$V$136)*SQRT(252),"n.a.")</f>
        <v>8.4074113241684026E-2</v>
      </c>
      <c r="C10" s="18">
        <f>IF(B12&gt;1,STDEV(Daily!$W$7:$W$136)*SQRT(252),"n.a.")</f>
        <v>8.9845338829587687E-2</v>
      </c>
      <c r="D10" s="13" t="s">
        <v>31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 ht="34.049999999999997" customHeight="1" x14ac:dyDescent="0.3">
      <c r="A11" s="1" t="s">
        <v>8</v>
      </c>
      <c r="B11" s="18">
        <f>Portfolio!K11</f>
        <v>-5.750948684762236E-2</v>
      </c>
      <c r="C11" s="18" t="s">
        <v>32</v>
      </c>
      <c r="D11" s="13" t="s">
        <v>33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 ht="34.049999999999997" customHeight="1" x14ac:dyDescent="0.3">
      <c r="A12" s="1" t="s">
        <v>34</v>
      </c>
      <c r="B12" s="19">
        <f>MAX(0,MATCH(Portfolio!$J$5,Daily!$A$7:$A$136,0)-MATCH(Holdings!$G$24,Daily!$A$7:$A$136,0))</f>
        <v>129</v>
      </c>
      <c r="C12" s="19">
        <f>B12</f>
        <v>129</v>
      </c>
      <c r="D12" s="13" t="s">
        <v>35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 ht="34.049999999999997" customHeight="1" x14ac:dyDescent="0.3">
      <c r="A13" s="1" t="s">
        <v>36</v>
      </c>
      <c r="B13" s="18">
        <f>IF(Holdings!G16=0,"n.a.",Holdings!G15/Holdings!G16)</f>
        <v>9.3856685283145697E-2</v>
      </c>
      <c r="C13" s="18" t="s">
        <v>32</v>
      </c>
      <c r="D13" s="13" t="s">
        <v>37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 ht="19.9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 ht="19.9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 ht="19.9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9.9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9.9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9.9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9.9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9.9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9.9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9.9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9.9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9.9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9.9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9.9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9.9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9.9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9.9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9.9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9.9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9.9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9.9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8.95" customHeight="1" x14ac:dyDescent="0.3">
      <c r="A35" s="6" t="s">
        <v>38</v>
      </c>
      <c r="B35" s="6" t="s">
        <v>39</v>
      </c>
      <c r="C35" s="6" t="s">
        <v>40</v>
      </c>
      <c r="D35" s="6" t="s">
        <v>41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9.95" customHeight="1" x14ac:dyDescent="0.3">
      <c r="A36" s="1" t="str">
        <f>Daily!T11</f>
        <v>27-Mar</v>
      </c>
      <c r="B36" s="11">
        <f>IF(AND(Daily!A11&lt;=Portfolio!$J$5,Daily!A11&gt;=Holdings!$G$24),Daily!M11,NA())</f>
        <v>101.2429504</v>
      </c>
      <c r="C36" s="11">
        <f>IF(AND(Daily!A11&lt;=Portfolio!$J$5,Daily!A11&gt;=Holdings!$G$24),Daily!P11,NA())</f>
        <v>101.39547570000001</v>
      </c>
      <c r="D36" s="10">
        <f>IF(AND(Daily!A11&lt;=Portfolio!$J$5,Daily!A11&gt;=Holdings!$G$24),Daily!O11,NA())</f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9.95" customHeight="1" x14ac:dyDescent="0.3">
      <c r="A37" s="1" t="str">
        <f>Daily!T16</f>
        <v>03-Apr</v>
      </c>
      <c r="B37" s="11">
        <f>IF(AND(Daily!A16&lt;=Portfolio!$J$5,Daily!A16&gt;=Holdings!$G$24),Daily!M16,NA())</f>
        <v>100.03672560000001</v>
      </c>
      <c r="C37" s="11">
        <f>IF(AND(Daily!A16&lt;=Portfolio!$J$5,Daily!A16&gt;=Holdings!$G$24),Daily!P16,NA())</f>
        <v>99.58256639999999</v>
      </c>
      <c r="D37" s="10">
        <f>IF(AND(Daily!A16&lt;=Portfolio!$J$5,Daily!A16&gt;=Holdings!$G$24),Daily!O16,NA())</f>
        <v>-1.5293302678724197E-2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9.95" customHeight="1" x14ac:dyDescent="0.3">
      <c r="A38" s="1" t="str">
        <f>Daily!T21</f>
        <v>10-Apr</v>
      </c>
      <c r="B38" s="11">
        <f>IF(AND(Daily!A21&lt;=Portfolio!$J$5,Daily!A21&gt;=Holdings!$G$24),Daily!M21,NA())</f>
        <v>99.515026400000011</v>
      </c>
      <c r="C38" s="11">
        <f>IF(AND(Daily!A21&lt;=Portfolio!$J$5,Daily!A21&gt;=Holdings!$G$24),Daily!P21,NA())</f>
        <v>98.5995116</v>
      </c>
      <c r="D38" s="10">
        <f>IF(AND(Daily!A21&lt;=Portfolio!$J$5,Daily!A21&gt;=Holdings!$G$24),Daily!O21,NA())</f>
        <v>-2.0428623663552137E-2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9.95" customHeight="1" x14ac:dyDescent="0.3">
      <c r="A39" s="1" t="str">
        <f>Daily!T26</f>
        <v>17-Apr</v>
      </c>
      <c r="B39" s="11">
        <f>IF(AND(Daily!A26&lt;=Portfolio!$J$5,Daily!A26&gt;=Holdings!$G$24),Daily!M26,NA())</f>
        <v>99.757746799999993</v>
      </c>
      <c r="C39" s="11">
        <f>IF(AND(Daily!A26&lt;=Portfolio!$J$5,Daily!A26&gt;=Holdings!$G$24),Daily!P26,NA())</f>
        <v>98.854471999999987</v>
      </c>
      <c r="D39" s="10">
        <f>IF(AND(Daily!A26&lt;=Portfolio!$J$5,Daily!A26&gt;=Holdings!$G$24),Daily!O26,NA())</f>
        <v>-1.8039417079440567E-2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9.95" customHeight="1" x14ac:dyDescent="0.3">
      <c r="A40" s="1" t="str">
        <f>Daily!T31</f>
        <v>24-Apr</v>
      </c>
      <c r="B40" s="11">
        <f>IF(AND(Daily!A31&lt;=Portfolio!$J$5,Daily!A31&gt;=Holdings!$G$24),Daily!M31,NA())</f>
        <v>99.390875599999987</v>
      </c>
      <c r="C40" s="11">
        <f>IF(AND(Daily!A31&lt;=Portfolio!$J$5,Daily!A31&gt;=Holdings!$G$24),Daily!P31,NA())</f>
        <v>97.328268899999998</v>
      </c>
      <c r="D40" s="10">
        <f>IF(AND(Daily!A31&lt;=Portfolio!$J$5,Daily!A31&gt;=Holdings!$G$24),Daily!O31,NA())</f>
        <v>-2.1650696092498367E-2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9.95" customHeight="1" x14ac:dyDescent="0.3">
      <c r="A41" s="1" t="str">
        <f>Daily!T36</f>
        <v>01-May</v>
      </c>
      <c r="B41" s="11">
        <f>IF(AND(Daily!A36&lt;=Portfolio!$J$5,Daily!A36&gt;=Holdings!$G$24),Daily!M36,NA())</f>
        <v>98.714225090064147</v>
      </c>
      <c r="C41" s="11">
        <f>IF(AND(Daily!A36&lt;=Portfolio!$J$5,Daily!A36&gt;=Holdings!$G$24),Daily!P36,NA())</f>
        <v>96.809650199999993</v>
      </c>
      <c r="D41" s="10">
        <f>IF(AND(Daily!A36&lt;=Portfolio!$J$5,Daily!A36&gt;=Holdings!$G$24),Daily!O36,NA())</f>
        <v>-2.8311272844519508E-2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9.95" customHeight="1" x14ac:dyDescent="0.3">
      <c r="A42" s="1" t="str">
        <f>Daily!T41</f>
        <v>08-May</v>
      </c>
      <c r="B42" s="11">
        <f>IF(AND(Daily!A41&lt;=Portfolio!$J$5,Daily!A41&gt;=Holdings!$G$24),Daily!M41,NA())</f>
        <v>98.217545810087017</v>
      </c>
      <c r="C42" s="11">
        <f>IF(AND(Daily!A41&lt;=Portfolio!$J$5,Daily!A41&gt;=Holdings!$G$24),Daily!P41,NA())</f>
        <v>95.382601300000005</v>
      </c>
      <c r="D42" s="10">
        <f>IF(AND(Daily!A41&lt;=Portfolio!$J$5,Daily!A41&gt;=Holdings!$G$24),Daily!O41,NA())</f>
        <v>-3.3200311449899322E-2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9.95" customHeight="1" x14ac:dyDescent="0.3">
      <c r="A43" s="1" t="str">
        <f>Daily!T46</f>
        <v>15-May</v>
      </c>
      <c r="B43" s="11">
        <f>IF(AND(Daily!A46&lt;=Portfolio!$J$5,Daily!A46&gt;=Holdings!$G$24),Daily!M46,NA())</f>
        <v>98.661626156553595</v>
      </c>
      <c r="C43" s="11">
        <f>IF(AND(Daily!A46&lt;=Portfolio!$J$5,Daily!A46&gt;=Holdings!$G$24),Daily!P46,NA())</f>
        <v>94.821611200000007</v>
      </c>
      <c r="D43" s="10">
        <f>IF(AND(Daily!A46&lt;=Portfolio!$J$5,Daily!A46&gt;=Holdings!$G$24),Daily!O46,NA())</f>
        <v>-2.8829027916860595E-2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9.95" customHeight="1" x14ac:dyDescent="0.3">
      <c r="A44" s="1" t="str">
        <f>Daily!T51</f>
        <v>22-May</v>
      </c>
      <c r="B44" s="11">
        <f>IF(AND(Daily!A51&lt;=Portfolio!$J$5,Daily!A51&gt;=Holdings!$G$24),Daily!M51,NA())</f>
        <v>97.536683763660562</v>
      </c>
      <c r="C44" s="11">
        <f>IF(AND(Daily!A51&lt;=Portfolio!$J$5,Daily!A51&gt;=Holdings!$G$24),Daily!P51,NA())</f>
        <v>93.794179999999997</v>
      </c>
      <c r="D44" s="10">
        <f>IF(AND(Daily!A51&lt;=Portfolio!$J$5,Daily!A51&gt;=Holdings!$G$24),Daily!O51,NA())</f>
        <v>-3.9902344258818001E-2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9.95" customHeight="1" x14ac:dyDescent="0.3">
      <c r="A45" s="1" t="str">
        <f>Daily!T56</f>
        <v>29-May</v>
      </c>
      <c r="B45" s="11">
        <f>IF(AND(Daily!A56&lt;=Portfolio!$J$5,Daily!A56&gt;=Holdings!$G$24),Daily!M56,NA())</f>
        <v>97.902007757279236</v>
      </c>
      <c r="C45" s="11">
        <f>IF(AND(Daily!A56&lt;=Portfolio!$J$5,Daily!A56&gt;=Holdings!$G$24),Daily!P56,NA())</f>
        <v>94.293305799999999</v>
      </c>
      <c r="D45" s="10">
        <f>IF(AND(Daily!A56&lt;=Portfolio!$J$5,Daily!A56&gt;=Holdings!$G$24),Daily!O56,NA())</f>
        <v>-3.6306295097364272E-2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9.95" customHeight="1" x14ac:dyDescent="0.3">
      <c r="A46" s="1" t="str">
        <f>Daily!T61</f>
        <v>05-Jun</v>
      </c>
      <c r="B46" s="11">
        <f>IF(AND(Daily!A61&lt;=Portfolio!$J$5,Daily!A61&gt;=Holdings!$G$24),Daily!M61,NA())</f>
        <v>96.849714132091094</v>
      </c>
      <c r="C46" s="11">
        <f>IF(AND(Daily!A61&lt;=Portfolio!$J$5,Daily!A61&gt;=Holdings!$G$24),Daily!P61,NA())</f>
        <v>92.373102100000011</v>
      </c>
      <c r="D46" s="10">
        <f>IF(AND(Daily!A61&lt;=Portfolio!$J$5,Daily!A61&gt;=Holdings!$G$24),Daily!O61,NA())</f>
        <v>-4.6664496788356491E-2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9.95" customHeight="1" x14ac:dyDescent="0.3">
      <c r="A47" s="1" t="str">
        <f>Daily!T66</f>
        <v>12-Jun</v>
      </c>
      <c r="B47" s="11">
        <f>IF(AND(Daily!A66&lt;=Portfolio!$J$5,Daily!A66&gt;=Holdings!$G$24),Daily!M66,NA())</f>
        <v>95.74796749256403</v>
      </c>
      <c r="C47" s="11">
        <f>IF(AND(Daily!A66&lt;=Portfolio!$J$5,Daily!A66&gt;=Holdings!$G$24),Daily!P66,NA())</f>
        <v>92.297650999999988</v>
      </c>
      <c r="D47" s="10">
        <f>IF(AND(Daily!A66&lt;=Portfolio!$J$5,Daily!A66&gt;=Holdings!$G$24),Daily!O66,NA())</f>
        <v>-5.750948684762236E-2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9.95" customHeight="1" x14ac:dyDescent="0.3">
      <c r="A48" s="1" t="str">
        <f>Daily!T71</f>
        <v>19-Jun</v>
      </c>
      <c r="B48" s="11">
        <f>IF(AND(Daily!A71&lt;=Portfolio!$J$5,Daily!A71&gt;=Holdings!$G$24),Daily!M71,NA())</f>
        <v>97.292863772983949</v>
      </c>
      <c r="C48" s="11">
        <f>IF(AND(Daily!A71&lt;=Portfolio!$J$5,Daily!A71&gt;=Holdings!$G$24),Daily!P71,NA())</f>
        <v>94.067238000000003</v>
      </c>
      <c r="D48" s="10">
        <f>IF(AND(Daily!A71&lt;=Portfolio!$J$5,Daily!A71&gt;=Holdings!$G$24),Daily!O71,NA())</f>
        <v>-4.2302374610871718E-2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9.95" customHeight="1" x14ac:dyDescent="0.3">
      <c r="A49" s="1" t="str">
        <f>Daily!T76</f>
        <v>26-Jun</v>
      </c>
      <c r="B49" s="11">
        <f>IF(AND(Daily!A76&lt;=Portfolio!$J$5,Daily!A76&gt;=Holdings!$G$24),Daily!M76,NA())</f>
        <v>99.15156612612985</v>
      </c>
      <c r="C49" s="11">
        <f>IF(AND(Daily!A76&lt;=Portfolio!$J$5,Daily!A76&gt;=Holdings!$G$24),Daily!P76,NA())</f>
        <v>97.057310399999992</v>
      </c>
      <c r="D49" s="10">
        <f>IF(AND(Daily!A76&lt;=Portfolio!$J$5,Daily!A76&gt;=Holdings!$G$24),Daily!O76,NA())</f>
        <v>-2.4006327389294313E-2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9.95" customHeight="1" x14ac:dyDescent="0.3">
      <c r="A50" s="1" t="str">
        <f>Daily!T81</f>
        <v>03-Jul</v>
      </c>
      <c r="B50" s="11">
        <f>IF(AND(Daily!A81&lt;=Portfolio!$J$5,Daily!A81&gt;=Holdings!$G$24),Daily!M81,NA())</f>
        <v>99.731054603237965</v>
      </c>
      <c r="C50" s="11">
        <f>IF(AND(Daily!A81&lt;=Portfolio!$J$5,Daily!A81&gt;=Holdings!$G$24),Daily!P81,NA())</f>
        <v>97.147943299999994</v>
      </c>
      <c r="D50" s="10">
        <f>IF(AND(Daily!A81&lt;=Portfolio!$J$5,Daily!A81&gt;=Holdings!$G$24),Daily!O81,NA())</f>
        <v>-1.8302160434544801E-2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9.95" customHeight="1" x14ac:dyDescent="0.3">
      <c r="A51" s="1" t="str">
        <f>Daily!T86</f>
        <v>10-Jul</v>
      </c>
      <c r="B51" s="11">
        <f>IF(AND(Daily!A86&lt;=Portfolio!$J$5,Daily!A86&gt;=Holdings!$G$24),Daily!M86,NA())</f>
        <v>100.54808611815967</v>
      </c>
      <c r="C51" s="11">
        <f>IF(AND(Daily!A86&lt;=Portfolio!$J$5,Daily!A86&gt;=Holdings!$G$24),Daily!P86,NA())</f>
        <v>97.803045400000002</v>
      </c>
      <c r="D51" s="10">
        <f>IF(AND(Daily!A86&lt;=Portfolio!$J$5,Daily!A86&gt;=Holdings!$G$24),Daily!O86,NA())</f>
        <v>-1.0259750011367585E-2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9.95" customHeight="1" x14ac:dyDescent="0.3">
      <c r="A52" s="1" t="str">
        <f>Daily!T91</f>
        <v>17-Jul</v>
      </c>
      <c r="B52" s="11">
        <f>IF(AND(Daily!A91&lt;=Portfolio!$J$5,Daily!A91&gt;=Holdings!$G$24),Daily!M91,NA())</f>
        <v>101.68400019915038</v>
      </c>
      <c r="C52" s="11">
        <f>IF(AND(Daily!A91&lt;=Portfolio!$J$5,Daily!A91&gt;=Holdings!$G$24),Daily!P91,NA())</f>
        <v>97.566513400000005</v>
      </c>
      <c r="D52" s="10">
        <f>IF(AND(Daily!A91&lt;=Portfolio!$J$5,Daily!A91&gt;=Holdings!$G$24),Daily!O91,NA())</f>
        <v>-2.939371255505363E-3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9.95" customHeight="1" x14ac:dyDescent="0.3">
      <c r="A53" s="1" t="str">
        <f>Daily!T96</f>
        <v>24-Jul</v>
      </c>
      <c r="B53" s="11">
        <f>IF(AND(Daily!A96&lt;=Portfolio!$J$5,Daily!A96&gt;=Holdings!$G$24),Daily!M96,NA())</f>
        <v>100.55460269094806</v>
      </c>
      <c r="C53" s="11">
        <f>IF(AND(Daily!A96&lt;=Portfolio!$J$5,Daily!A96&gt;=Holdings!$G$24),Daily!P96,NA())</f>
        <v>96.276389600000002</v>
      </c>
      <c r="D53" s="10">
        <f>IF(AND(Daily!A96&lt;=Portfolio!$J$5,Daily!A96&gt;=Holdings!$G$24),Daily!O96,NA())</f>
        <v>-1.4013658138645524E-2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9.95" customHeight="1" x14ac:dyDescent="0.3">
      <c r="A54" s="1" t="str">
        <f>Daily!T101</f>
        <v>31-Jul</v>
      </c>
      <c r="B54" s="11">
        <f>IF(AND(Daily!A101&lt;=Portfolio!$J$5,Daily!A101&gt;=Holdings!$G$24),Daily!M101,NA())</f>
        <v>101.69615836893909</v>
      </c>
      <c r="C54" s="11">
        <f>IF(AND(Daily!A101&lt;=Portfolio!$J$5,Daily!A101&gt;=Holdings!$G$24),Daily!P101,NA())</f>
        <v>97.485243300000008</v>
      </c>
      <c r="D54" s="10">
        <f>IF(AND(Daily!A101&lt;=Portfolio!$J$5,Daily!A101&gt;=Holdings!$G$24),Daily!O101,NA())</f>
        <v>-2.8201545410746487E-3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9.95" customHeight="1" x14ac:dyDescent="0.3">
      <c r="A55" s="1" t="str">
        <f>Daily!T106</f>
        <v>07-Aug</v>
      </c>
      <c r="B55" s="11">
        <f>IF(AND(Daily!A106&lt;=Portfolio!$J$5,Daily!A106&gt;=Holdings!$G$24),Daily!M106,NA())</f>
        <v>102.84219127019533</v>
      </c>
      <c r="C55" s="11">
        <f>IF(AND(Daily!A106&lt;=Portfolio!$J$5,Daily!A106&gt;=Holdings!$G$24),Daily!P106,NA())</f>
        <v>98.759670500000013</v>
      </c>
      <c r="D55" s="10">
        <f>IF(AND(Daily!A106&lt;=Portfolio!$J$5,Daily!A106&gt;=Holdings!$G$24),Daily!O106,NA())</f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9.95" customHeight="1" x14ac:dyDescent="0.3">
      <c r="A56" s="1" t="str">
        <f>Daily!T111</f>
        <v>14-Aug</v>
      </c>
      <c r="B56" s="11">
        <f>IF(AND(Daily!A111&lt;=Portfolio!$J$5,Daily!A111&gt;=Holdings!$G$24),Daily!M111,NA())</f>
        <v>102.76906414876852</v>
      </c>
      <c r="C56" s="11">
        <f>IF(AND(Daily!A111&lt;=Portfolio!$J$5,Daily!A111&gt;=Holdings!$G$24),Daily!P111,NA())</f>
        <v>98.554955800000002</v>
      </c>
      <c r="D56" s="10">
        <f>IF(AND(Daily!A111&lt;=Portfolio!$J$5,Daily!A111&gt;=Holdings!$G$24),Daily!O111,NA())</f>
        <v>-1.6956301323498568E-3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9.95" customHeight="1" x14ac:dyDescent="0.3">
      <c r="A57" s="1" t="str">
        <f>Daily!T116</f>
        <v>21-Aug</v>
      </c>
      <c r="B57" s="11">
        <f>IF(AND(Daily!A116&lt;=Portfolio!$J$5,Daily!A116&gt;=Holdings!$G$24),Daily!M116,NA())</f>
        <v>100.94956528516305</v>
      </c>
      <c r="C57" s="11">
        <f>IF(AND(Daily!A116&lt;=Portfolio!$J$5,Daily!A116&gt;=Holdings!$G$24),Daily!P116,NA())</f>
        <v>97.847237500000006</v>
      </c>
      <c r="D57" s="10">
        <f>IF(AND(Daily!A116&lt;=Portfolio!$J$5,Daily!A116&gt;=Holdings!$G$24),Daily!O116,NA())</f>
        <v>-1.9370342669160823E-2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9.95" customHeight="1" x14ac:dyDescent="0.3">
      <c r="A58" s="1" t="str">
        <f>Daily!T121</f>
        <v>28-Aug</v>
      </c>
      <c r="B58" s="11">
        <f>IF(AND(Daily!A121&lt;=Portfolio!$J$5,Daily!A121&gt;=Holdings!$G$24),Daily!M121,NA())</f>
        <v>99.090048706669975</v>
      </c>
      <c r="C58" s="11">
        <f>IF(AND(Daily!A121&lt;=Portfolio!$J$5,Daily!A121&gt;=Holdings!$G$24),Daily!P121,NA())</f>
        <v>97.370688800000011</v>
      </c>
      <c r="D58" s="10">
        <f>IF(AND(Daily!A121&lt;=Portfolio!$J$5,Daily!A121&gt;=Holdings!$G$24),Daily!O121,NA())</f>
        <v>-3.7433789500433967E-2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9.95" customHeight="1" x14ac:dyDescent="0.3">
      <c r="A59" s="1" t="str">
        <f>Daily!T126</f>
        <v>04-Sep</v>
      </c>
      <c r="B59" s="11">
        <f>IF(AND(Daily!A126&lt;=Portfolio!$J$5,Daily!A126&gt;=Holdings!$G$24),Daily!M126,NA())</f>
        <v>100.69837048665232</v>
      </c>
      <c r="C59" s="11">
        <f>IF(AND(Daily!A126&lt;=Portfolio!$J$5,Daily!A126&gt;=Holdings!$G$24),Daily!P126,NA())</f>
        <v>98.773055299999996</v>
      </c>
      <c r="D59" s="10">
        <f>IF(AND(Daily!A126&lt;=Portfolio!$J$5,Daily!A126&gt;=Holdings!$G$24),Daily!O126,NA())</f>
        <v>-2.1810462827093535E-2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9.95" customHeight="1" x14ac:dyDescent="0.3">
      <c r="A60" s="1" t="str">
        <f>Daily!T131</f>
        <v>11-Sep</v>
      </c>
      <c r="B60" s="11">
        <f>IF(AND(Daily!A131&lt;=Portfolio!$J$5,Daily!A131&gt;=Holdings!$G$24),Daily!M131,NA())</f>
        <v>101.70966311665187</v>
      </c>
      <c r="C60" s="11">
        <f>IF(AND(Daily!A131&lt;=Portfolio!$J$5,Daily!A131&gt;=Holdings!$G$24),Daily!P131,NA())</f>
        <v>100.32490510000001</v>
      </c>
      <c r="D60" s="10">
        <f>IF(AND(Daily!A131&lt;=Portfolio!$J$5,Daily!A131&gt;=Holdings!$G$24),Daily!O131,NA())</f>
        <v>-1.1986710318439453E-2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9.95" customHeight="1" x14ac:dyDescent="0.3">
      <c r="A61" s="1" t="str">
        <f>Daily!T136</f>
        <v>18-Sep</v>
      </c>
      <c r="B61" s="11">
        <f>IF(AND(Daily!A136&lt;=Portfolio!$J$5,Daily!A136&gt;=Holdings!$G$24),Daily!M136,NA())</f>
        <v>98.282375746643709</v>
      </c>
      <c r="C61" s="11">
        <f>IF(AND(Daily!A136&lt;=Portfolio!$J$5,Daily!A136&gt;=Holdings!$G$24),Daily!P136,NA())</f>
        <v>96.624133900000004</v>
      </c>
      <c r="D61" s="10">
        <f>IF(AND(Daily!A136&lt;=Portfolio!$J$5,Daily!A136&gt;=Holdings!$G$24),Daily!O136,NA())</f>
        <v>-4.527956927956045E-2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</sheetData>
  <pageMargins left="0.25" right="0.25" top="0.25" bottom="0.25" header="0.3" footer="0.3"/>
  <pageSetup paperSize="8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006"/>
  <sheetViews>
    <sheetView showGridLines="0" zoomScale="90" zoomScaleNormal="90" workbookViewId="0">
      <pane ySplit="6" topLeftCell="A7" activePane="bottomLeft" state="frozen"/>
      <selection pane="bottomLeft"/>
    </sheetView>
  </sheetViews>
  <sheetFormatPr defaultRowHeight="14.4" x14ac:dyDescent="0.3"/>
  <cols>
    <col min="1" max="1" width="33.5546875" bestFit="1" customWidth="1"/>
    <col min="2" max="4" width="13" customWidth="1"/>
    <col min="5" max="5" width="21" customWidth="1"/>
    <col min="6" max="18" width="13" customWidth="1"/>
    <col min="19" max="19" width="24" customWidth="1"/>
    <col min="20" max="20" width="0" hidden="1" customWidth="1"/>
  </cols>
  <sheetData>
    <row r="1" spans="1: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33" ht="19.95" customHeight="1" x14ac:dyDescent="0.3">
      <c r="A2" s="2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33" ht="19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1:33" ht="19.95" customHeight="1" x14ac:dyDescent="0.3">
      <c r="A4" s="5" t="s">
        <v>70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33" ht="19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33" ht="26.4" x14ac:dyDescent="0.3">
      <c r="A6" s="6" t="s">
        <v>71</v>
      </c>
      <c r="B6" s="20" t="s">
        <v>72</v>
      </c>
      <c r="C6" s="20" t="s">
        <v>0</v>
      </c>
      <c r="D6" s="20" t="s">
        <v>73</v>
      </c>
      <c r="E6" s="20" t="s">
        <v>11</v>
      </c>
      <c r="F6" s="20" t="s">
        <v>74</v>
      </c>
      <c r="G6" s="20" t="s">
        <v>75</v>
      </c>
      <c r="H6" s="20" t="s">
        <v>76</v>
      </c>
      <c r="I6" s="20" t="s">
        <v>67</v>
      </c>
      <c r="J6" s="20" t="s">
        <v>77</v>
      </c>
      <c r="K6" s="20" t="s">
        <v>78</v>
      </c>
      <c r="L6" s="20" t="s">
        <v>79</v>
      </c>
      <c r="M6" s="20" t="s">
        <v>80</v>
      </c>
      <c r="N6" s="20" t="s">
        <v>81</v>
      </c>
      <c r="O6" s="20" t="s">
        <v>82</v>
      </c>
      <c r="P6" s="20" t="s">
        <v>83</v>
      </c>
      <c r="Q6" s="20" t="s">
        <v>84</v>
      </c>
      <c r="R6" s="20" t="s">
        <v>85</v>
      </c>
      <c r="S6" s="20" t="s">
        <v>86</v>
      </c>
      <c r="T6" s="20" t="s">
        <v>87</v>
      </c>
      <c r="U6" s="20" t="s">
        <v>88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9"/>
      <c r="AG6" s="9"/>
    </row>
    <row r="7" spans="1:33" x14ac:dyDescent="0.3">
      <c r="A7" s="1" t="s">
        <v>89</v>
      </c>
      <c r="B7" s="21">
        <v>46104</v>
      </c>
      <c r="C7" s="1" t="s">
        <v>1</v>
      </c>
      <c r="D7" s="1" t="s">
        <v>90</v>
      </c>
      <c r="E7" s="1" t="s">
        <v>91</v>
      </c>
      <c r="F7" s="8">
        <v>0</v>
      </c>
      <c r="G7" s="8">
        <v>0</v>
      </c>
      <c r="H7" s="8">
        <v>500000</v>
      </c>
      <c r="I7" s="8">
        <v>0</v>
      </c>
      <c r="J7" s="8">
        <f t="shared" ref="J7:J42" si="0">IF(D7="BUY",F7,IF(D7="SELL",-F7,IF(OR(D7="SPLIT",D7="BONUS"),F7,0)))</f>
        <v>0</v>
      </c>
      <c r="K7" s="8">
        <f t="shared" ref="K7:K42" si="1">IF(D7="BUY",-F7*G7-I7,IF(D7="SELL",F7*G7-I7,IF(D7="DEPOSIT",H7,IF(D7="WITHDRAW",-H7,IF(D7="DIVIDEND",H7-I7,IF(D7="FEE",-H7-I7,0))))))</f>
        <v>500000</v>
      </c>
      <c r="L7" s="8">
        <f t="shared" ref="L7:L42" si="2">IF(D7="DEPOSIT",H7,IF(D7="WITHDRAW",-H7,0))</f>
        <v>500000</v>
      </c>
      <c r="M7" s="8">
        <f>SUMIFS($J$6:J6,$C$6:C6,C7,$E$6:E6,E7)</f>
        <v>0</v>
      </c>
      <c r="N7" s="8">
        <f>SUMIFS($O$6:O6,$C$6:C6,C7,$E$6:E6,E7)</f>
        <v>0</v>
      </c>
      <c r="O7" s="8">
        <f t="shared" ref="O7:O42" si="3">IF(D7="BUY",F7*G7+I7,IF(D7="SELL",IF(M7&gt;0,-F7*N7/M7,NA()),0))</f>
        <v>0</v>
      </c>
      <c r="P7" s="8">
        <f t="shared" ref="P7:P42" si="4">IF(D7="SELL",F7*G7-I7+O7,0)</f>
        <v>0</v>
      </c>
      <c r="Q7" s="8">
        <f t="shared" ref="Q7:Q42" si="5">M7+J7</f>
        <v>0</v>
      </c>
      <c r="R7" s="8">
        <f t="shared" ref="R7:R42" si="6">N7+O7</f>
        <v>0</v>
      </c>
      <c r="S7" s="8" t="str">
        <f>IF(OR(F7&lt;0,G7&lt;0,H7&lt;0,I7&lt;0),"Review negative input",IF(Q7&lt;-0.000001,"Review short position",IF(SUMIFS($K$7:K7,$C$7:C7,C7)&lt;-0.01,"Review negative cash",IF(COUNTIFS(History!$A$7:$A$136,B7)=0,"Review date","OK"))))</f>
        <v>OK</v>
      </c>
      <c r="T7" s="8" t="str">
        <f t="shared" ref="T7:T42" si="7">A7&amp;"|"&amp;TEXT(B7,"yyyy-mm-dd")&amp;"|"&amp;C7&amp;"|"&amp;D7&amp;"|"&amp;E7&amp;"|"&amp;TEXT(F7,"0.##############")&amp;"|"&amp;TEXT(G7,"0.##############")&amp;"|"&amp;TEXT(H7,"0.##############")&amp;"|"&amp;TEXT(I7,"0.##############")</f>
        <v>EVT-0001|2026-03-23|Model|DEPOSIT|CASH|0.|0.|500000.|0.</v>
      </c>
      <c r="U7" s="8" t="str">
        <f>IF(COUNTIFS(Transactions!$A$7:$A$1006,A7,Transactions!$J$7:$J$1006,T7)&gt;0,"Matched","Refresh required")</f>
        <v>Matched</v>
      </c>
      <c r="V7" s="8"/>
      <c r="W7" s="8"/>
      <c r="X7" s="8"/>
      <c r="Y7" s="8"/>
      <c r="Z7" s="8"/>
      <c r="AA7" s="8"/>
      <c r="AB7" s="8"/>
      <c r="AC7" s="8"/>
      <c r="AD7" s="8"/>
      <c r="AE7" s="1"/>
    </row>
    <row r="8" spans="1:33" ht="19.95" customHeight="1" x14ac:dyDescent="0.3">
      <c r="A8" s="1" t="s">
        <v>92</v>
      </c>
      <c r="B8" s="21">
        <v>46104</v>
      </c>
      <c r="C8" s="1" t="s">
        <v>1</v>
      </c>
      <c r="D8" s="1" t="s">
        <v>93</v>
      </c>
      <c r="E8" s="1" t="s">
        <v>46</v>
      </c>
      <c r="F8" s="8">
        <v>80</v>
      </c>
      <c r="G8" s="8">
        <v>550</v>
      </c>
      <c r="H8" s="8">
        <v>0</v>
      </c>
      <c r="I8" s="8">
        <v>30</v>
      </c>
      <c r="J8" s="8">
        <f t="shared" si="0"/>
        <v>80</v>
      </c>
      <c r="K8" s="8">
        <f t="shared" si="1"/>
        <v>-44030</v>
      </c>
      <c r="L8" s="8">
        <f t="shared" si="2"/>
        <v>0</v>
      </c>
      <c r="M8" s="8">
        <f>SUMIFS($J$6:J7,$C$6:C7,C8,$E$6:E7,E8)</f>
        <v>0</v>
      </c>
      <c r="N8" s="8">
        <f>SUMIFS($O$6:O7,$C$6:C7,C8,$E$6:E7,E8)</f>
        <v>0</v>
      </c>
      <c r="O8" s="8">
        <f t="shared" si="3"/>
        <v>44030</v>
      </c>
      <c r="P8" s="8">
        <f t="shared" si="4"/>
        <v>0</v>
      </c>
      <c r="Q8" s="8">
        <f t="shared" si="5"/>
        <v>80</v>
      </c>
      <c r="R8" s="8">
        <f t="shared" si="6"/>
        <v>44030</v>
      </c>
      <c r="S8" s="1" t="str">
        <f>IF(OR(F8&lt;0,G8&lt;0,H8&lt;0,I8&lt;0),"Review negative input",IF(Q8&lt;-0.000001,"Review short position",IF(SUMIFS($K$7:K8,$C$7:C8,C8)&lt;-0.01,"Review negative cash",IF(COUNTIFS(History!$A$7:$A$136,B8)=0,"Review date","OK"))))</f>
        <v>OK</v>
      </c>
      <c r="T8" s="1" t="str">
        <f t="shared" si="7"/>
        <v>EVT-0002|2026-03-23|Model|BUY|SYN_BANK|80.|550.|0.|30.</v>
      </c>
      <c r="U8" s="1" t="str">
        <f>IF(COUNTIFS(Transactions!$A$7:$A$1006,A8,Transactions!$J$7:$J$1006,T8)&gt;0,"Matched","Refresh required")</f>
        <v>Matched</v>
      </c>
      <c r="V8" s="8"/>
      <c r="W8" s="8"/>
      <c r="X8" s="8"/>
      <c r="Y8" s="8"/>
      <c r="Z8" s="8"/>
      <c r="AA8" s="8"/>
      <c r="AB8" s="8"/>
      <c r="AC8" s="8"/>
      <c r="AD8" s="8"/>
      <c r="AE8" s="1"/>
    </row>
    <row r="9" spans="1:33" ht="19.95" customHeight="1" x14ac:dyDescent="0.3">
      <c r="A9" s="1" t="s">
        <v>94</v>
      </c>
      <c r="B9" s="21">
        <v>46104</v>
      </c>
      <c r="C9" s="1" t="s">
        <v>1</v>
      </c>
      <c r="D9" s="1" t="s">
        <v>93</v>
      </c>
      <c r="E9" s="1" t="s">
        <v>49</v>
      </c>
      <c r="F9" s="8">
        <v>100</v>
      </c>
      <c r="G9" s="8">
        <v>1200</v>
      </c>
      <c r="H9" s="8">
        <v>0</v>
      </c>
      <c r="I9" s="8">
        <v>30</v>
      </c>
      <c r="J9" s="8">
        <f t="shared" si="0"/>
        <v>100</v>
      </c>
      <c r="K9" s="8">
        <f t="shared" si="1"/>
        <v>-120030</v>
      </c>
      <c r="L9" s="8">
        <f t="shared" si="2"/>
        <v>0</v>
      </c>
      <c r="M9" s="8">
        <f>SUMIFS($J$6:J8,$C$6:C8,C9,$E$6:E8,E9)</f>
        <v>0</v>
      </c>
      <c r="N9" s="8">
        <f>SUMIFS($O$6:O8,$C$6:C8,C9,$E$6:E8,E9)</f>
        <v>0</v>
      </c>
      <c r="O9" s="8">
        <f t="shared" si="3"/>
        <v>120030</v>
      </c>
      <c r="P9" s="8">
        <f t="shared" si="4"/>
        <v>0</v>
      </c>
      <c r="Q9" s="8">
        <f t="shared" si="5"/>
        <v>100</v>
      </c>
      <c r="R9" s="8">
        <f t="shared" si="6"/>
        <v>120030</v>
      </c>
      <c r="S9" s="1" t="str">
        <f>IF(OR(F9&lt;0,G9&lt;0,H9&lt;0,I9&lt;0),"Review negative input",IF(Q9&lt;-0.000001,"Review short position",IF(SUMIFS($K$7:K9,$C$7:C9,C9)&lt;-0.01,"Review negative cash",IF(COUNTIFS(History!$A$7:$A$136,B9)=0,"Review date","OK"))))</f>
        <v>OK</v>
      </c>
      <c r="T9" s="1" t="str">
        <f t="shared" si="7"/>
        <v>EVT-0003|2026-03-23|Model|BUY|SYN_TECH|100.|1200.|0.|30.</v>
      </c>
      <c r="U9" s="1" t="str">
        <f>IF(COUNTIFS(Transactions!$A$7:$A$1006,A9,Transactions!$J$7:$J$1006,T9)&gt;0,"Matched","Refresh required")</f>
        <v>Matched</v>
      </c>
      <c r="V9" s="8"/>
      <c r="W9" s="8"/>
      <c r="X9" s="8"/>
      <c r="Y9" s="8"/>
      <c r="Z9" s="8"/>
      <c r="AA9" s="8"/>
      <c r="AB9" s="8"/>
      <c r="AC9" s="8"/>
      <c r="AD9" s="8"/>
      <c r="AE9" s="1"/>
    </row>
    <row r="10" spans="1:33" ht="19.95" customHeight="1" x14ac:dyDescent="0.3">
      <c r="A10" s="1" t="s">
        <v>95</v>
      </c>
      <c r="B10" s="21">
        <v>46104</v>
      </c>
      <c r="C10" s="1" t="s">
        <v>1</v>
      </c>
      <c r="D10" s="1" t="s">
        <v>93</v>
      </c>
      <c r="E10" s="1" t="s">
        <v>52</v>
      </c>
      <c r="F10" s="8">
        <v>70</v>
      </c>
      <c r="G10" s="8">
        <v>850</v>
      </c>
      <c r="H10" s="8">
        <v>0</v>
      </c>
      <c r="I10" s="8">
        <v>30</v>
      </c>
      <c r="J10" s="8">
        <f t="shared" si="0"/>
        <v>70</v>
      </c>
      <c r="K10" s="8">
        <f t="shared" si="1"/>
        <v>-59530</v>
      </c>
      <c r="L10" s="8">
        <f t="shared" si="2"/>
        <v>0</v>
      </c>
      <c r="M10" s="8">
        <f>SUMIFS($J$6:J9,$C$6:C9,C10,$E$6:E9,E10)</f>
        <v>0</v>
      </c>
      <c r="N10" s="8">
        <f>SUMIFS($O$6:O9,$C$6:C9,C10,$E$6:E9,E10)</f>
        <v>0</v>
      </c>
      <c r="O10" s="8">
        <f t="shared" si="3"/>
        <v>59530</v>
      </c>
      <c r="P10" s="8">
        <f t="shared" si="4"/>
        <v>0</v>
      </c>
      <c r="Q10" s="8">
        <f t="shared" si="5"/>
        <v>70</v>
      </c>
      <c r="R10" s="8">
        <f t="shared" si="6"/>
        <v>59530</v>
      </c>
      <c r="S10" s="1" t="str">
        <f>IF(OR(F10&lt;0,G10&lt;0,H10&lt;0,I10&lt;0),"Review negative input",IF(Q10&lt;-0.000001,"Review short position",IF(SUMIFS($K$7:K10,$C$7:C10,C10)&lt;-0.01,"Review negative cash",IF(COUNTIFS(History!$A$7:$A$136,B10)=0,"Review date","OK"))))</f>
        <v>OK</v>
      </c>
      <c r="T10" s="1" t="str">
        <f t="shared" si="7"/>
        <v>EVT-0004|2026-03-23|Model|BUY|SYN_HEALTH|70.|850.|0.|30.</v>
      </c>
      <c r="U10" s="1" t="str">
        <f>IF(COUNTIFS(Transactions!$A$7:$A$1006,A10,Transactions!$J$7:$J$1006,T10)&gt;0,"Matched","Refresh required")</f>
        <v>Matched</v>
      </c>
      <c r="V10" s="8"/>
      <c r="W10" s="8"/>
      <c r="X10" s="8"/>
      <c r="Y10" s="8"/>
      <c r="Z10" s="8"/>
      <c r="AA10" s="8"/>
      <c r="AB10" s="8"/>
      <c r="AC10" s="8"/>
      <c r="AD10" s="8"/>
      <c r="AE10" s="1"/>
    </row>
    <row r="11" spans="1:33" ht="19.95" customHeight="1" x14ac:dyDescent="0.3">
      <c r="A11" s="1" t="s">
        <v>96</v>
      </c>
      <c r="B11" s="21">
        <v>46104</v>
      </c>
      <c r="C11" s="1" t="s">
        <v>1</v>
      </c>
      <c r="D11" s="1" t="s">
        <v>93</v>
      </c>
      <c r="E11" s="1" t="s">
        <v>55</v>
      </c>
      <c r="F11" s="8">
        <v>180</v>
      </c>
      <c r="G11" s="8">
        <v>430</v>
      </c>
      <c r="H11" s="8">
        <v>0</v>
      </c>
      <c r="I11" s="8">
        <v>30</v>
      </c>
      <c r="J11" s="8">
        <f t="shared" si="0"/>
        <v>180</v>
      </c>
      <c r="K11" s="8">
        <f t="shared" si="1"/>
        <v>-77430</v>
      </c>
      <c r="L11" s="8">
        <f t="shared" si="2"/>
        <v>0</v>
      </c>
      <c r="M11" s="8">
        <f>SUMIFS($J$6:J10,$C$6:C10,C11,$E$6:E10,E11)</f>
        <v>0</v>
      </c>
      <c r="N11" s="8">
        <f>SUMIFS($O$6:O10,$C$6:C10,C11,$E$6:E10,E11)</f>
        <v>0</v>
      </c>
      <c r="O11" s="8">
        <f t="shared" si="3"/>
        <v>77430</v>
      </c>
      <c r="P11" s="8">
        <f t="shared" si="4"/>
        <v>0</v>
      </c>
      <c r="Q11" s="8">
        <f t="shared" si="5"/>
        <v>180</v>
      </c>
      <c r="R11" s="8">
        <f t="shared" si="6"/>
        <v>77430</v>
      </c>
      <c r="S11" s="1" t="str">
        <f>IF(OR(F11&lt;0,G11&lt;0,H11&lt;0,I11&lt;0),"Review negative input",IF(Q11&lt;-0.000001,"Review short position",IF(SUMIFS($K$7:K11,$C$7:C11,C11)&lt;-0.01,"Review negative cash",IF(COUNTIFS(History!$A$7:$A$136,B11)=0,"Review date","OK"))))</f>
        <v>OK</v>
      </c>
      <c r="T11" s="1" t="str">
        <f t="shared" si="7"/>
        <v>EVT-0005|2026-03-23|Model|BUY|SYN_INDUSTRY|180.|430.|0.|30.</v>
      </c>
      <c r="U11" s="1" t="str">
        <f>IF(COUNTIFS(Transactions!$A$7:$A$1006,A11,Transactions!$J$7:$J$1006,T11)&gt;0,"Matched","Refresh required")</f>
        <v>Matched</v>
      </c>
      <c r="V11" s="8"/>
      <c r="W11" s="8"/>
      <c r="X11" s="8"/>
      <c r="Y11" s="8"/>
      <c r="Z11" s="8"/>
      <c r="AA11" s="8"/>
      <c r="AB11" s="8"/>
      <c r="AC11" s="8"/>
      <c r="AD11" s="8"/>
      <c r="AE11" s="1"/>
    </row>
    <row r="12" spans="1:33" ht="19.95" customHeight="1" x14ac:dyDescent="0.3">
      <c r="A12" s="1" t="s">
        <v>97</v>
      </c>
      <c r="B12" s="21">
        <v>46104</v>
      </c>
      <c r="C12" s="1" t="s">
        <v>1</v>
      </c>
      <c r="D12" s="1" t="s">
        <v>93</v>
      </c>
      <c r="E12" s="1" t="s">
        <v>58</v>
      </c>
      <c r="F12" s="8">
        <v>400</v>
      </c>
      <c r="G12" s="8">
        <v>250</v>
      </c>
      <c r="H12" s="8">
        <v>0</v>
      </c>
      <c r="I12" s="8">
        <v>30</v>
      </c>
      <c r="J12" s="8">
        <f t="shared" si="0"/>
        <v>400</v>
      </c>
      <c r="K12" s="8">
        <f t="shared" si="1"/>
        <v>-100030</v>
      </c>
      <c r="L12" s="8">
        <f t="shared" si="2"/>
        <v>0</v>
      </c>
      <c r="M12" s="8">
        <f>SUMIFS($J$6:J11,$C$6:C11,C12,$E$6:E11,E12)</f>
        <v>0</v>
      </c>
      <c r="N12" s="8">
        <f>SUMIFS($O$6:O11,$C$6:C11,C12,$E$6:E11,E12)</f>
        <v>0</v>
      </c>
      <c r="O12" s="8">
        <f t="shared" si="3"/>
        <v>100030</v>
      </c>
      <c r="P12" s="8">
        <f t="shared" si="4"/>
        <v>0</v>
      </c>
      <c r="Q12" s="8">
        <f t="shared" si="5"/>
        <v>400</v>
      </c>
      <c r="R12" s="8">
        <f t="shared" si="6"/>
        <v>100030</v>
      </c>
      <c r="S12" s="1" t="str">
        <f>IF(OR(F12&lt;0,G12&lt;0,H12&lt;0,I12&lt;0),"Review negative input",IF(Q12&lt;-0.000001,"Review short position",IF(SUMIFS($K$7:K12,$C$7:C12,C12)&lt;-0.01,"Review negative cash",IF(COUNTIFS(History!$A$7:$A$136,B12)=0,"Review date","OK"))))</f>
        <v>OK</v>
      </c>
      <c r="T12" s="1" t="str">
        <f t="shared" si="7"/>
        <v>EVT-0006|2026-03-23|Model|BUY|SYN_BROAD_ETF|400.|250.|0.|30.</v>
      </c>
      <c r="U12" s="1" t="str">
        <f>IF(COUNTIFS(Transactions!$A$7:$A$1006,A12,Transactions!$J$7:$J$1006,T12)&gt;0,"Matched","Refresh required")</f>
        <v>Matched</v>
      </c>
      <c r="V12" s="8"/>
      <c r="W12" s="8"/>
      <c r="X12" s="8"/>
      <c r="Y12" s="8"/>
      <c r="Z12" s="8"/>
      <c r="AA12" s="8"/>
      <c r="AB12" s="8"/>
      <c r="AC12" s="8"/>
      <c r="AD12" s="8"/>
      <c r="AE12" s="1"/>
    </row>
    <row r="13" spans="1:33" ht="19.95" customHeight="1" x14ac:dyDescent="0.3">
      <c r="A13" s="1" t="s">
        <v>98</v>
      </c>
      <c r="B13" s="21">
        <v>46104</v>
      </c>
      <c r="C13" s="1" t="s">
        <v>1</v>
      </c>
      <c r="D13" s="1" t="s">
        <v>93</v>
      </c>
      <c r="E13" s="1" t="s">
        <v>61</v>
      </c>
      <c r="F13" s="8">
        <v>600</v>
      </c>
      <c r="G13" s="8">
        <v>100</v>
      </c>
      <c r="H13" s="8">
        <v>0</v>
      </c>
      <c r="I13" s="8">
        <v>30</v>
      </c>
      <c r="J13" s="8">
        <f t="shared" si="0"/>
        <v>600</v>
      </c>
      <c r="K13" s="8">
        <f t="shared" si="1"/>
        <v>-60030</v>
      </c>
      <c r="L13" s="8">
        <f t="shared" si="2"/>
        <v>0</v>
      </c>
      <c r="M13" s="8">
        <f>SUMIFS($J$6:J12,$C$6:C12,C13,$E$6:E12,E13)</f>
        <v>0</v>
      </c>
      <c r="N13" s="8">
        <f>SUMIFS($O$6:O12,$C$6:C12,C13,$E$6:E12,E13)</f>
        <v>0</v>
      </c>
      <c r="O13" s="8">
        <f t="shared" si="3"/>
        <v>60030</v>
      </c>
      <c r="P13" s="8">
        <f t="shared" si="4"/>
        <v>0</v>
      </c>
      <c r="Q13" s="8">
        <f t="shared" si="5"/>
        <v>600</v>
      </c>
      <c r="R13" s="8">
        <f t="shared" si="6"/>
        <v>60030</v>
      </c>
      <c r="S13" s="1" t="str">
        <f>IF(OR(F13&lt;0,G13&lt;0,H13&lt;0,I13&lt;0),"Review negative input",IF(Q13&lt;-0.000001,"Review short position",IF(SUMIFS($K$7:K13,$C$7:C13,C13)&lt;-0.01,"Review negative cash",IF(COUNTIFS(History!$A$7:$A$136,B13)=0,"Review date","OK"))))</f>
        <v>OK</v>
      </c>
      <c r="T13" s="1" t="str">
        <f t="shared" si="7"/>
        <v>EVT-0007|2026-03-23|Model|BUY|SYN_BOND_ETF|600.|100.|0.|30.</v>
      </c>
      <c r="U13" s="1" t="str">
        <f>IF(COUNTIFS(Transactions!$A$7:$A$1006,A13,Transactions!$J$7:$J$1006,T13)&gt;0,"Matched","Refresh required")</f>
        <v>Matched</v>
      </c>
      <c r="V13" s="8"/>
      <c r="W13" s="8"/>
      <c r="X13" s="8"/>
      <c r="Y13" s="8"/>
      <c r="Z13" s="8"/>
      <c r="AA13" s="8"/>
      <c r="AB13" s="8"/>
      <c r="AC13" s="8"/>
      <c r="AD13" s="8"/>
      <c r="AE13" s="1"/>
    </row>
    <row r="14" spans="1:33" ht="19.95" customHeight="1" x14ac:dyDescent="0.3">
      <c r="A14" s="1" t="s">
        <v>99</v>
      </c>
      <c r="B14" s="21">
        <v>46104</v>
      </c>
      <c r="C14" s="1" t="s">
        <v>100</v>
      </c>
      <c r="D14" s="1" t="s">
        <v>90</v>
      </c>
      <c r="E14" s="1" t="s">
        <v>91</v>
      </c>
      <c r="F14" s="8">
        <v>0</v>
      </c>
      <c r="G14" s="8">
        <v>0</v>
      </c>
      <c r="H14" s="8">
        <v>250000</v>
      </c>
      <c r="I14" s="8">
        <v>0</v>
      </c>
      <c r="J14" s="8">
        <f t="shared" si="0"/>
        <v>0</v>
      </c>
      <c r="K14" s="8">
        <f t="shared" si="1"/>
        <v>250000</v>
      </c>
      <c r="L14" s="8">
        <f t="shared" si="2"/>
        <v>250000</v>
      </c>
      <c r="M14" s="8">
        <f>SUMIFS($J$6:J13,$C$6:C13,C14,$E$6:E13,E14)</f>
        <v>0</v>
      </c>
      <c r="N14" s="8">
        <f>SUMIFS($O$6:O13,$C$6:C13,C14,$E$6:E13,E14)</f>
        <v>0</v>
      </c>
      <c r="O14" s="8">
        <f t="shared" si="3"/>
        <v>0</v>
      </c>
      <c r="P14" s="8">
        <f t="shared" si="4"/>
        <v>0</v>
      </c>
      <c r="Q14" s="8">
        <f t="shared" si="5"/>
        <v>0</v>
      </c>
      <c r="R14" s="8">
        <f t="shared" si="6"/>
        <v>0</v>
      </c>
      <c r="S14" s="1" t="str">
        <f>IF(OR(F14&lt;0,G14&lt;0,H14&lt;0,I14&lt;0),"Review negative input",IF(Q14&lt;-0.000001,"Review short position",IF(SUMIFS($K$7:K14,$C$7:C14,C14)&lt;-0.01,"Review negative cash",IF(COUNTIFS(History!$A$7:$A$136,B14)=0,"Review date","OK"))))</f>
        <v>OK</v>
      </c>
      <c r="T14" s="1" t="str">
        <f t="shared" si="7"/>
        <v>EVT-0008|2026-03-23|Practice|DEPOSIT|CASH|0.|0.|250000.|0.</v>
      </c>
      <c r="U14" s="1" t="str">
        <f>IF(COUNTIFS(Transactions!$A$7:$A$1006,A14,Transactions!$J$7:$J$1006,T14)&gt;0,"Matched","Refresh required")</f>
        <v>Matched</v>
      </c>
      <c r="V14" s="8"/>
      <c r="W14" s="8"/>
      <c r="X14" s="8"/>
      <c r="Y14" s="8"/>
      <c r="Z14" s="8"/>
      <c r="AA14" s="8"/>
      <c r="AB14" s="8"/>
      <c r="AC14" s="8"/>
      <c r="AD14" s="8"/>
      <c r="AE14" s="1"/>
    </row>
    <row r="15" spans="1:33" ht="19.95" customHeight="1" x14ac:dyDescent="0.3">
      <c r="A15" s="1" t="s">
        <v>101</v>
      </c>
      <c r="B15" s="21">
        <v>46104</v>
      </c>
      <c r="C15" s="1" t="s">
        <v>100</v>
      </c>
      <c r="D15" s="1" t="s">
        <v>93</v>
      </c>
      <c r="E15" s="1" t="s">
        <v>46</v>
      </c>
      <c r="F15" s="8">
        <v>40</v>
      </c>
      <c r="G15" s="8">
        <v>550</v>
      </c>
      <c r="H15" s="8">
        <v>0</v>
      </c>
      <c r="I15" s="8">
        <v>15</v>
      </c>
      <c r="J15" s="8">
        <f t="shared" si="0"/>
        <v>40</v>
      </c>
      <c r="K15" s="8">
        <f t="shared" si="1"/>
        <v>-22015</v>
      </c>
      <c r="L15" s="8">
        <f t="shared" si="2"/>
        <v>0</v>
      </c>
      <c r="M15" s="8">
        <f>SUMIFS($J$6:J14,$C$6:C14,C15,$E$6:E14,E15)</f>
        <v>0</v>
      </c>
      <c r="N15" s="8">
        <f>SUMIFS($O$6:O14,$C$6:C14,C15,$E$6:E14,E15)</f>
        <v>0</v>
      </c>
      <c r="O15" s="8">
        <f t="shared" si="3"/>
        <v>22015</v>
      </c>
      <c r="P15" s="8">
        <f t="shared" si="4"/>
        <v>0</v>
      </c>
      <c r="Q15" s="8">
        <f t="shared" si="5"/>
        <v>40</v>
      </c>
      <c r="R15" s="8">
        <f t="shared" si="6"/>
        <v>22015</v>
      </c>
      <c r="S15" s="1" t="str">
        <f>IF(OR(F15&lt;0,G15&lt;0,H15&lt;0,I15&lt;0),"Review negative input",IF(Q15&lt;-0.000001,"Review short position",IF(SUMIFS($K$7:K15,$C$7:C15,C15)&lt;-0.01,"Review negative cash",IF(COUNTIFS(History!$A$7:$A$136,B15)=0,"Review date","OK"))))</f>
        <v>OK</v>
      </c>
      <c r="T15" s="1" t="str">
        <f t="shared" si="7"/>
        <v>EVT-0009|2026-03-23|Practice|BUY|SYN_BANK|40.|550.|0.|15.</v>
      </c>
      <c r="U15" s="1" t="str">
        <f>IF(COUNTIFS(Transactions!$A$7:$A$1006,A15,Transactions!$J$7:$J$1006,T15)&gt;0,"Matched","Refresh required")</f>
        <v>Matched</v>
      </c>
      <c r="V15" s="8"/>
      <c r="W15" s="8"/>
      <c r="X15" s="8"/>
      <c r="Y15" s="8"/>
      <c r="Z15" s="8"/>
      <c r="AA15" s="8"/>
      <c r="AB15" s="8"/>
      <c r="AC15" s="8"/>
      <c r="AD15" s="8"/>
      <c r="AE15" s="1"/>
    </row>
    <row r="16" spans="1:33" ht="19.95" customHeight="1" x14ac:dyDescent="0.3">
      <c r="A16" s="1" t="s">
        <v>102</v>
      </c>
      <c r="B16" s="21">
        <v>46104</v>
      </c>
      <c r="C16" s="1" t="s">
        <v>100</v>
      </c>
      <c r="D16" s="1" t="s">
        <v>93</v>
      </c>
      <c r="E16" s="1" t="s">
        <v>49</v>
      </c>
      <c r="F16" s="8">
        <v>50</v>
      </c>
      <c r="G16" s="8">
        <v>1200</v>
      </c>
      <c r="H16" s="8">
        <v>0</v>
      </c>
      <c r="I16" s="8">
        <v>15</v>
      </c>
      <c r="J16" s="8">
        <f t="shared" si="0"/>
        <v>50</v>
      </c>
      <c r="K16" s="8">
        <f t="shared" si="1"/>
        <v>-60015</v>
      </c>
      <c r="L16" s="8">
        <f t="shared" si="2"/>
        <v>0</v>
      </c>
      <c r="M16" s="8">
        <f>SUMIFS($J$6:J15,$C$6:C15,C16,$E$6:E15,E16)</f>
        <v>0</v>
      </c>
      <c r="N16" s="8">
        <f>SUMIFS($O$6:O15,$C$6:C15,C16,$E$6:E15,E16)</f>
        <v>0</v>
      </c>
      <c r="O16" s="8">
        <f t="shared" si="3"/>
        <v>60015</v>
      </c>
      <c r="P16" s="8">
        <f t="shared" si="4"/>
        <v>0</v>
      </c>
      <c r="Q16" s="8">
        <f t="shared" si="5"/>
        <v>50</v>
      </c>
      <c r="R16" s="8">
        <f t="shared" si="6"/>
        <v>60015</v>
      </c>
      <c r="S16" s="1" t="str">
        <f>IF(OR(F16&lt;0,G16&lt;0,H16&lt;0,I16&lt;0),"Review negative input",IF(Q16&lt;-0.000001,"Review short position",IF(SUMIFS($K$7:K16,$C$7:C16,C16)&lt;-0.01,"Review negative cash",IF(COUNTIFS(History!$A$7:$A$136,B16)=0,"Review date","OK"))))</f>
        <v>OK</v>
      </c>
      <c r="T16" s="1" t="str">
        <f t="shared" si="7"/>
        <v>EVT-0010|2026-03-23|Practice|BUY|SYN_TECH|50.|1200.|0.|15.</v>
      </c>
      <c r="U16" s="1" t="str">
        <f>IF(COUNTIFS(Transactions!$A$7:$A$1006,A16,Transactions!$J$7:$J$1006,T16)&gt;0,"Matched","Refresh required")</f>
        <v>Matched</v>
      </c>
      <c r="V16" s="8"/>
      <c r="W16" s="8"/>
      <c r="X16" s="8"/>
      <c r="Y16" s="8"/>
      <c r="Z16" s="8"/>
      <c r="AA16" s="8"/>
      <c r="AB16" s="8"/>
      <c r="AC16" s="8"/>
      <c r="AD16" s="8"/>
      <c r="AE16" s="1"/>
    </row>
    <row r="17" spans="1:31" ht="19.95" customHeight="1" x14ac:dyDescent="0.3">
      <c r="A17" s="1" t="s">
        <v>103</v>
      </c>
      <c r="B17" s="21">
        <v>46104</v>
      </c>
      <c r="C17" s="1" t="s">
        <v>100</v>
      </c>
      <c r="D17" s="1" t="s">
        <v>93</v>
      </c>
      <c r="E17" s="1" t="s">
        <v>52</v>
      </c>
      <c r="F17" s="8">
        <v>35</v>
      </c>
      <c r="G17" s="8">
        <v>850</v>
      </c>
      <c r="H17" s="8">
        <v>0</v>
      </c>
      <c r="I17" s="8">
        <v>15</v>
      </c>
      <c r="J17" s="8">
        <f t="shared" si="0"/>
        <v>35</v>
      </c>
      <c r="K17" s="8">
        <f t="shared" si="1"/>
        <v>-29765</v>
      </c>
      <c r="L17" s="8">
        <f t="shared" si="2"/>
        <v>0</v>
      </c>
      <c r="M17" s="8">
        <f>SUMIFS($J$6:J16,$C$6:C16,C17,$E$6:E16,E17)</f>
        <v>0</v>
      </c>
      <c r="N17" s="8">
        <f>SUMIFS($O$6:O16,$C$6:C16,C17,$E$6:E16,E17)</f>
        <v>0</v>
      </c>
      <c r="O17" s="8">
        <f t="shared" si="3"/>
        <v>29765</v>
      </c>
      <c r="P17" s="8">
        <f t="shared" si="4"/>
        <v>0</v>
      </c>
      <c r="Q17" s="8">
        <f t="shared" si="5"/>
        <v>35</v>
      </c>
      <c r="R17" s="8">
        <f t="shared" si="6"/>
        <v>29765</v>
      </c>
      <c r="S17" s="1" t="str">
        <f>IF(OR(F17&lt;0,G17&lt;0,H17&lt;0,I17&lt;0),"Review negative input",IF(Q17&lt;-0.000001,"Review short position",IF(SUMIFS($K$7:K17,$C$7:C17,C17)&lt;-0.01,"Review negative cash",IF(COUNTIFS(History!$A$7:$A$136,B17)=0,"Review date","OK"))))</f>
        <v>OK</v>
      </c>
      <c r="T17" s="1" t="str">
        <f t="shared" si="7"/>
        <v>EVT-0011|2026-03-23|Practice|BUY|SYN_HEALTH|35.|850.|0.|15.</v>
      </c>
      <c r="U17" s="1" t="str">
        <f>IF(COUNTIFS(Transactions!$A$7:$A$1006,A17,Transactions!$J$7:$J$1006,T17)&gt;0,"Matched","Refresh required")</f>
        <v>Matched</v>
      </c>
      <c r="V17" s="8"/>
      <c r="W17" s="8"/>
      <c r="X17" s="8"/>
      <c r="Y17" s="8"/>
      <c r="Z17" s="8"/>
      <c r="AA17" s="8"/>
      <c r="AB17" s="8"/>
      <c r="AC17" s="8"/>
      <c r="AD17" s="8"/>
      <c r="AE17" s="1"/>
    </row>
    <row r="18" spans="1:31" ht="19.95" customHeight="1" x14ac:dyDescent="0.3">
      <c r="A18" s="1" t="s">
        <v>104</v>
      </c>
      <c r="B18" s="21">
        <v>46104</v>
      </c>
      <c r="C18" s="1" t="s">
        <v>100</v>
      </c>
      <c r="D18" s="1" t="s">
        <v>93</v>
      </c>
      <c r="E18" s="1" t="s">
        <v>55</v>
      </c>
      <c r="F18" s="8">
        <v>90</v>
      </c>
      <c r="G18" s="8">
        <v>430</v>
      </c>
      <c r="H18" s="8">
        <v>0</v>
      </c>
      <c r="I18" s="8">
        <v>15</v>
      </c>
      <c r="J18" s="8">
        <f t="shared" si="0"/>
        <v>90</v>
      </c>
      <c r="K18" s="8">
        <f t="shared" si="1"/>
        <v>-38715</v>
      </c>
      <c r="L18" s="8">
        <f t="shared" si="2"/>
        <v>0</v>
      </c>
      <c r="M18" s="8">
        <f>SUMIFS($J$6:J17,$C$6:C17,C18,$E$6:E17,E18)</f>
        <v>0</v>
      </c>
      <c r="N18" s="8">
        <f>SUMIFS($O$6:O17,$C$6:C17,C18,$E$6:E17,E18)</f>
        <v>0</v>
      </c>
      <c r="O18" s="8">
        <f t="shared" si="3"/>
        <v>38715</v>
      </c>
      <c r="P18" s="8">
        <f t="shared" si="4"/>
        <v>0</v>
      </c>
      <c r="Q18" s="8">
        <f t="shared" si="5"/>
        <v>90</v>
      </c>
      <c r="R18" s="8">
        <f t="shared" si="6"/>
        <v>38715</v>
      </c>
      <c r="S18" s="1" t="str">
        <f>IF(OR(F18&lt;0,G18&lt;0,H18&lt;0,I18&lt;0),"Review negative input",IF(Q18&lt;-0.000001,"Review short position",IF(SUMIFS($K$7:K18,$C$7:C18,C18)&lt;-0.01,"Review negative cash",IF(COUNTIFS(History!$A$7:$A$136,B18)=0,"Review date","OK"))))</f>
        <v>OK</v>
      </c>
      <c r="T18" s="1" t="str">
        <f t="shared" si="7"/>
        <v>EVT-0012|2026-03-23|Practice|BUY|SYN_INDUSTRY|90.|430.|0.|15.</v>
      </c>
      <c r="U18" s="1" t="str">
        <f>IF(COUNTIFS(Transactions!$A$7:$A$1006,A18,Transactions!$J$7:$J$1006,T18)&gt;0,"Matched","Refresh required")</f>
        <v>Matched</v>
      </c>
      <c r="V18" s="8"/>
      <c r="W18" s="8"/>
      <c r="X18" s="8"/>
      <c r="Y18" s="8"/>
      <c r="Z18" s="8"/>
      <c r="AA18" s="8"/>
      <c r="AB18" s="8"/>
      <c r="AC18" s="8"/>
      <c r="AD18" s="8"/>
      <c r="AE18" s="1"/>
    </row>
    <row r="19" spans="1:31" ht="19.95" customHeight="1" x14ac:dyDescent="0.3">
      <c r="A19" s="1" t="s">
        <v>105</v>
      </c>
      <c r="B19" s="21">
        <v>46104</v>
      </c>
      <c r="C19" s="1" t="s">
        <v>100</v>
      </c>
      <c r="D19" s="1" t="s">
        <v>93</v>
      </c>
      <c r="E19" s="1" t="s">
        <v>58</v>
      </c>
      <c r="F19" s="8">
        <v>200</v>
      </c>
      <c r="G19" s="8">
        <v>250</v>
      </c>
      <c r="H19" s="8">
        <v>0</v>
      </c>
      <c r="I19" s="8">
        <v>15</v>
      </c>
      <c r="J19" s="8">
        <f t="shared" si="0"/>
        <v>200</v>
      </c>
      <c r="K19" s="8">
        <f t="shared" si="1"/>
        <v>-50015</v>
      </c>
      <c r="L19" s="8">
        <f t="shared" si="2"/>
        <v>0</v>
      </c>
      <c r="M19" s="8">
        <f>SUMIFS($J$6:J18,$C$6:C18,C19,$E$6:E18,E19)</f>
        <v>0</v>
      </c>
      <c r="N19" s="8">
        <f>SUMIFS($O$6:O18,$C$6:C18,C19,$E$6:E18,E19)</f>
        <v>0</v>
      </c>
      <c r="O19" s="8">
        <f t="shared" si="3"/>
        <v>50015</v>
      </c>
      <c r="P19" s="8">
        <f t="shared" si="4"/>
        <v>0</v>
      </c>
      <c r="Q19" s="8">
        <f t="shared" si="5"/>
        <v>200</v>
      </c>
      <c r="R19" s="8">
        <f t="shared" si="6"/>
        <v>50015</v>
      </c>
      <c r="S19" s="1" t="str">
        <f>IF(OR(F19&lt;0,G19&lt;0,H19&lt;0,I19&lt;0),"Review negative input",IF(Q19&lt;-0.000001,"Review short position",IF(SUMIFS($K$7:K19,$C$7:C19,C19)&lt;-0.01,"Review negative cash",IF(COUNTIFS(History!$A$7:$A$136,B19)=0,"Review date","OK"))))</f>
        <v>OK</v>
      </c>
      <c r="T19" s="1" t="str">
        <f t="shared" si="7"/>
        <v>EVT-0013|2026-03-23|Practice|BUY|SYN_BROAD_ETF|200.|250.|0.|15.</v>
      </c>
      <c r="U19" s="1" t="str">
        <f>IF(COUNTIFS(Transactions!$A$7:$A$1006,A19,Transactions!$J$7:$J$1006,T19)&gt;0,"Matched","Refresh required")</f>
        <v>Matched</v>
      </c>
      <c r="V19" s="8"/>
      <c r="W19" s="8"/>
      <c r="X19" s="8"/>
      <c r="Y19" s="8"/>
      <c r="Z19" s="8"/>
      <c r="AA19" s="8"/>
      <c r="AB19" s="8"/>
      <c r="AC19" s="8"/>
      <c r="AD19" s="8"/>
      <c r="AE19" s="1"/>
    </row>
    <row r="20" spans="1:31" ht="19.95" customHeight="1" x14ac:dyDescent="0.3">
      <c r="A20" s="1" t="s">
        <v>106</v>
      </c>
      <c r="B20" s="21">
        <v>46104</v>
      </c>
      <c r="C20" s="1" t="s">
        <v>100</v>
      </c>
      <c r="D20" s="1" t="s">
        <v>93</v>
      </c>
      <c r="E20" s="1" t="s">
        <v>61</v>
      </c>
      <c r="F20" s="8">
        <v>300</v>
      </c>
      <c r="G20" s="8">
        <v>100</v>
      </c>
      <c r="H20" s="8">
        <v>0</v>
      </c>
      <c r="I20" s="8">
        <v>15</v>
      </c>
      <c r="J20" s="8">
        <f t="shared" si="0"/>
        <v>300</v>
      </c>
      <c r="K20" s="8">
        <f t="shared" si="1"/>
        <v>-30015</v>
      </c>
      <c r="L20" s="8">
        <f t="shared" si="2"/>
        <v>0</v>
      </c>
      <c r="M20" s="8">
        <f>SUMIFS($J$6:J19,$C$6:C19,C20,$E$6:E19,E20)</f>
        <v>0</v>
      </c>
      <c r="N20" s="8">
        <f>SUMIFS($O$6:O19,$C$6:C19,C20,$E$6:E19,E20)</f>
        <v>0</v>
      </c>
      <c r="O20" s="8">
        <f t="shared" si="3"/>
        <v>30015</v>
      </c>
      <c r="P20" s="8">
        <f t="shared" si="4"/>
        <v>0</v>
      </c>
      <c r="Q20" s="8">
        <f t="shared" si="5"/>
        <v>300</v>
      </c>
      <c r="R20" s="8">
        <f t="shared" si="6"/>
        <v>30015</v>
      </c>
      <c r="S20" s="1" t="str">
        <f>IF(OR(F20&lt;0,G20&lt;0,H20&lt;0,I20&lt;0),"Review negative input",IF(Q20&lt;-0.000001,"Review short position",IF(SUMIFS($K$7:K20,$C$7:C20,C20)&lt;-0.01,"Review negative cash",IF(COUNTIFS(History!$A$7:$A$136,B20)=0,"Review date","OK"))))</f>
        <v>OK</v>
      </c>
      <c r="T20" s="1" t="str">
        <f t="shared" si="7"/>
        <v>EVT-0014|2026-03-23|Practice|BUY|SYN_BOND_ETF|300.|100.|0.|15.</v>
      </c>
      <c r="U20" s="1" t="str">
        <f>IF(COUNTIFS(Transactions!$A$7:$A$1006,A20,Transactions!$J$7:$J$1006,T20)&gt;0,"Matched","Refresh required")</f>
        <v>Matched</v>
      </c>
      <c r="V20" s="8"/>
      <c r="W20" s="8"/>
      <c r="X20" s="8"/>
      <c r="Y20" s="8"/>
      <c r="Z20" s="8"/>
      <c r="AA20" s="8"/>
      <c r="AB20" s="8"/>
      <c r="AC20" s="8"/>
      <c r="AD20" s="8"/>
      <c r="AE20" s="1"/>
    </row>
    <row r="21" spans="1:31" ht="19.95" customHeight="1" x14ac:dyDescent="0.3">
      <c r="A21" s="1" t="s">
        <v>107</v>
      </c>
      <c r="B21" s="21">
        <v>46139</v>
      </c>
      <c r="C21" s="1" t="s">
        <v>1</v>
      </c>
      <c r="D21" s="1" t="s">
        <v>90</v>
      </c>
      <c r="E21" s="1" t="s">
        <v>91</v>
      </c>
      <c r="F21" s="8">
        <v>0</v>
      </c>
      <c r="G21" s="8">
        <v>0</v>
      </c>
      <c r="H21" s="8">
        <v>50000</v>
      </c>
      <c r="I21" s="8">
        <v>0</v>
      </c>
      <c r="J21" s="8">
        <f t="shared" si="0"/>
        <v>0</v>
      </c>
      <c r="K21" s="8">
        <f t="shared" si="1"/>
        <v>50000</v>
      </c>
      <c r="L21" s="8">
        <f t="shared" si="2"/>
        <v>50000</v>
      </c>
      <c r="M21" s="8">
        <f>SUMIFS($J$6:J20,$C$6:C20,C21,$E$6:E20,E21)</f>
        <v>0</v>
      </c>
      <c r="N21" s="8">
        <f>SUMIFS($O$6:O20,$C$6:C20,C21,$E$6:E20,E21)</f>
        <v>0</v>
      </c>
      <c r="O21" s="8">
        <f t="shared" si="3"/>
        <v>0</v>
      </c>
      <c r="P21" s="8">
        <f t="shared" si="4"/>
        <v>0</v>
      </c>
      <c r="Q21" s="8">
        <f t="shared" si="5"/>
        <v>0</v>
      </c>
      <c r="R21" s="8">
        <f t="shared" si="6"/>
        <v>0</v>
      </c>
      <c r="S21" s="1" t="str">
        <f>IF(OR(F21&lt;0,G21&lt;0,H21&lt;0,I21&lt;0),"Review negative input",IF(Q21&lt;-0.000001,"Review short position",IF(SUMIFS($K$7:K21,$C$7:C21,C21)&lt;-0.01,"Review negative cash",IF(COUNTIFS(History!$A$7:$A$136,B21)=0,"Review date","OK"))))</f>
        <v>OK</v>
      </c>
      <c r="T21" s="1" t="str">
        <f t="shared" si="7"/>
        <v>EVT-0015|2026-04-27|Model|DEPOSIT|CASH|0.|0.|50000.|0.</v>
      </c>
      <c r="U21" s="1" t="str">
        <f>IF(COUNTIFS(Transactions!$A$7:$A$1006,A21,Transactions!$J$7:$J$1006,T21)&gt;0,"Matched","Refresh required")</f>
        <v>Matched</v>
      </c>
      <c r="V21" s="8"/>
      <c r="W21" s="8"/>
      <c r="X21" s="8"/>
      <c r="Y21" s="8"/>
      <c r="Z21" s="8"/>
      <c r="AA21" s="8"/>
      <c r="AB21" s="8"/>
      <c r="AC21" s="8"/>
      <c r="AD21" s="8"/>
      <c r="AE21" s="1"/>
    </row>
    <row r="22" spans="1:31" ht="19.95" customHeight="1" x14ac:dyDescent="0.3">
      <c r="A22" s="1" t="s">
        <v>108</v>
      </c>
      <c r="B22" s="21">
        <v>46141</v>
      </c>
      <c r="C22" s="1" t="s">
        <v>1</v>
      </c>
      <c r="D22" s="1" t="s">
        <v>93</v>
      </c>
      <c r="E22" s="1" t="s">
        <v>46</v>
      </c>
      <c r="F22" s="8">
        <v>20</v>
      </c>
      <c r="G22" s="8">
        <v>518.53510000000006</v>
      </c>
      <c r="H22" s="8">
        <v>0</v>
      </c>
      <c r="I22" s="8">
        <v>20</v>
      </c>
      <c r="J22" s="8">
        <f t="shared" si="0"/>
        <v>20</v>
      </c>
      <c r="K22" s="8">
        <f t="shared" si="1"/>
        <v>-10390.702000000001</v>
      </c>
      <c r="L22" s="8">
        <f t="shared" si="2"/>
        <v>0</v>
      </c>
      <c r="M22" s="8">
        <f>SUMIFS($J$6:J21,$C$6:C21,C22,$E$6:E21,E22)</f>
        <v>80</v>
      </c>
      <c r="N22" s="8">
        <f>SUMIFS($O$6:O21,$C$6:C21,C22,$E$6:E21,E22)</f>
        <v>44030</v>
      </c>
      <c r="O22" s="8">
        <f t="shared" si="3"/>
        <v>10390.702000000001</v>
      </c>
      <c r="P22" s="8">
        <f t="shared" si="4"/>
        <v>0</v>
      </c>
      <c r="Q22" s="8">
        <f t="shared" si="5"/>
        <v>100</v>
      </c>
      <c r="R22" s="8">
        <f t="shared" si="6"/>
        <v>54420.702000000005</v>
      </c>
      <c r="S22" s="1" t="str">
        <f>IF(OR(F22&lt;0,G22&lt;0,H22&lt;0,I22&lt;0),"Review negative input",IF(Q22&lt;-0.000001,"Review short position",IF(SUMIFS($K$7:K22,$C$7:C22,C22)&lt;-0.01,"Review negative cash",IF(COUNTIFS(History!$A$7:$A$136,B22)=0,"Review date","OK"))))</f>
        <v>OK</v>
      </c>
      <c r="T22" s="1" t="str">
        <f t="shared" si="7"/>
        <v>EVT-0016|2026-04-29|Model|BUY|SYN_BANK|20.|518.5351|0.|20.</v>
      </c>
      <c r="U22" s="1" t="str">
        <f>IF(COUNTIFS(Transactions!$A$7:$A$1006,A22,Transactions!$J$7:$J$1006,T22)&gt;0,"Matched","Refresh required")</f>
        <v>Matched</v>
      </c>
      <c r="V22" s="8"/>
      <c r="W22" s="8"/>
      <c r="X22" s="8"/>
      <c r="Y22" s="8"/>
      <c r="Z22" s="8"/>
      <c r="AA22" s="8"/>
      <c r="AB22" s="8"/>
      <c r="AC22" s="8"/>
      <c r="AD22" s="8"/>
      <c r="AE22" s="1"/>
    </row>
    <row r="23" spans="1:31" ht="19.95" customHeight="1" x14ac:dyDescent="0.3">
      <c r="A23" s="1" t="s">
        <v>109</v>
      </c>
      <c r="B23" s="21">
        <v>46147</v>
      </c>
      <c r="C23" s="1" t="s">
        <v>100</v>
      </c>
      <c r="D23" s="1" t="s">
        <v>90</v>
      </c>
      <c r="E23" s="1" t="s">
        <v>91</v>
      </c>
      <c r="F23" s="8">
        <v>0</v>
      </c>
      <c r="G23" s="8">
        <v>0</v>
      </c>
      <c r="H23" s="8">
        <v>25000</v>
      </c>
      <c r="I23" s="8">
        <v>0</v>
      </c>
      <c r="J23" s="8">
        <f t="shared" si="0"/>
        <v>0</v>
      </c>
      <c r="K23" s="8">
        <f t="shared" si="1"/>
        <v>25000</v>
      </c>
      <c r="L23" s="8">
        <f t="shared" si="2"/>
        <v>25000</v>
      </c>
      <c r="M23" s="8">
        <f>SUMIFS($J$6:J22,$C$6:C22,C23,$E$6:E22,E23)</f>
        <v>0</v>
      </c>
      <c r="N23" s="8">
        <f>SUMIFS($O$6:O22,$C$6:C22,C23,$E$6:E22,E23)</f>
        <v>0</v>
      </c>
      <c r="O23" s="8">
        <f t="shared" si="3"/>
        <v>0</v>
      </c>
      <c r="P23" s="8">
        <f t="shared" si="4"/>
        <v>0</v>
      </c>
      <c r="Q23" s="8">
        <f t="shared" si="5"/>
        <v>0</v>
      </c>
      <c r="R23" s="8">
        <f t="shared" si="6"/>
        <v>0</v>
      </c>
      <c r="S23" s="1" t="str">
        <f>IF(OR(F23&lt;0,G23&lt;0,H23&lt;0,I23&lt;0),"Review negative input",IF(Q23&lt;-0.000001,"Review short position",IF(SUMIFS($K$7:K23,$C$7:C23,C23)&lt;-0.01,"Review negative cash",IF(COUNTIFS(History!$A$7:$A$136,B23)=0,"Review date","OK"))))</f>
        <v>OK</v>
      </c>
      <c r="T23" s="1" t="str">
        <f t="shared" si="7"/>
        <v>EVT-0017|2026-05-05|Practice|DEPOSIT|CASH|0.|0.|25000.|0.</v>
      </c>
      <c r="U23" s="1" t="str">
        <f>IF(COUNTIFS(Transactions!$A$7:$A$1006,A23,Transactions!$J$7:$J$1006,T23)&gt;0,"Matched","Refresh required")</f>
        <v>Matched</v>
      </c>
      <c r="V23" s="8"/>
      <c r="W23" s="8"/>
      <c r="X23" s="8"/>
      <c r="Y23" s="8"/>
      <c r="Z23" s="8"/>
      <c r="AA23" s="8"/>
      <c r="AB23" s="8"/>
      <c r="AC23" s="8"/>
      <c r="AD23" s="8"/>
      <c r="AE23" s="1"/>
    </row>
    <row r="24" spans="1:31" ht="19.95" customHeight="1" x14ac:dyDescent="0.3">
      <c r="A24" s="1" t="s">
        <v>110</v>
      </c>
      <c r="B24" s="21">
        <v>46150</v>
      </c>
      <c r="C24" s="1" t="s">
        <v>100</v>
      </c>
      <c r="D24" s="1" t="s">
        <v>93</v>
      </c>
      <c r="E24" s="1" t="s">
        <v>46</v>
      </c>
      <c r="F24" s="8">
        <v>10</v>
      </c>
      <c r="G24" s="8">
        <v>508.28710000000001</v>
      </c>
      <c r="H24" s="8">
        <v>0</v>
      </c>
      <c r="I24" s="8">
        <v>15</v>
      </c>
      <c r="J24" s="8">
        <f t="shared" si="0"/>
        <v>10</v>
      </c>
      <c r="K24" s="8">
        <f t="shared" si="1"/>
        <v>-5097.8710000000001</v>
      </c>
      <c r="L24" s="8">
        <f t="shared" si="2"/>
        <v>0</v>
      </c>
      <c r="M24" s="8">
        <f>SUMIFS($J$6:J23,$C$6:C23,C24,$E$6:E23,E24)</f>
        <v>40</v>
      </c>
      <c r="N24" s="8">
        <f>SUMIFS($O$6:O23,$C$6:C23,C24,$E$6:E23,E24)</f>
        <v>22015</v>
      </c>
      <c r="O24" s="8">
        <f t="shared" si="3"/>
        <v>5097.8710000000001</v>
      </c>
      <c r="P24" s="8">
        <f t="shared" si="4"/>
        <v>0</v>
      </c>
      <c r="Q24" s="8">
        <f t="shared" si="5"/>
        <v>50</v>
      </c>
      <c r="R24" s="8">
        <f t="shared" si="6"/>
        <v>27112.870999999999</v>
      </c>
      <c r="S24" s="1" t="str">
        <f>IF(OR(F24&lt;0,G24&lt;0,H24&lt;0,I24&lt;0),"Review negative input",IF(Q24&lt;-0.000001,"Review short position",IF(SUMIFS($K$7:K24,$C$7:C24,C24)&lt;-0.01,"Review negative cash",IF(COUNTIFS(History!$A$7:$A$136,B24)=0,"Review date","OK"))))</f>
        <v>OK</v>
      </c>
      <c r="T24" s="1" t="str">
        <f t="shared" si="7"/>
        <v>EVT-0018|2026-05-08|Practice|BUY|SYN_BANK|10.|508.2871|0.|15.</v>
      </c>
      <c r="U24" s="1" t="str">
        <f>IF(COUNTIFS(Transactions!$A$7:$A$1006,A24,Transactions!$J$7:$J$1006,T24)&gt;0,"Matched","Refresh required")</f>
        <v>Matched</v>
      </c>
      <c r="V24" s="8"/>
      <c r="W24" s="8"/>
      <c r="X24" s="8"/>
      <c r="Y24" s="8"/>
      <c r="Z24" s="8"/>
      <c r="AA24" s="8"/>
      <c r="AB24" s="8"/>
      <c r="AC24" s="8"/>
      <c r="AD24" s="8"/>
      <c r="AE24" s="1"/>
    </row>
    <row r="25" spans="1:31" ht="19.95" customHeight="1" x14ac:dyDescent="0.3">
      <c r="A25" s="1" t="s">
        <v>111</v>
      </c>
      <c r="B25" s="21">
        <v>46160</v>
      </c>
      <c r="C25" s="1" t="s">
        <v>1</v>
      </c>
      <c r="D25" s="1" t="s">
        <v>93</v>
      </c>
      <c r="E25" s="1" t="s">
        <v>58</v>
      </c>
      <c r="F25" s="8">
        <v>80</v>
      </c>
      <c r="G25" s="8">
        <v>248.11279999999999</v>
      </c>
      <c r="H25" s="8">
        <v>0</v>
      </c>
      <c r="I25" s="8">
        <v>20</v>
      </c>
      <c r="J25" s="8">
        <f t="shared" si="0"/>
        <v>80</v>
      </c>
      <c r="K25" s="8">
        <f t="shared" si="1"/>
        <v>-19869.023999999998</v>
      </c>
      <c r="L25" s="8">
        <f t="shared" si="2"/>
        <v>0</v>
      </c>
      <c r="M25" s="8">
        <f>SUMIFS($J$6:J24,$C$6:C24,C25,$E$6:E24,E25)</f>
        <v>400</v>
      </c>
      <c r="N25" s="8">
        <f>SUMIFS($O$6:O24,$C$6:C24,C25,$E$6:E24,E25)</f>
        <v>100030</v>
      </c>
      <c r="O25" s="8">
        <f t="shared" si="3"/>
        <v>19869.023999999998</v>
      </c>
      <c r="P25" s="8">
        <f t="shared" si="4"/>
        <v>0</v>
      </c>
      <c r="Q25" s="8">
        <f t="shared" si="5"/>
        <v>480</v>
      </c>
      <c r="R25" s="8">
        <f t="shared" si="6"/>
        <v>119899.024</v>
      </c>
      <c r="S25" s="1" t="str">
        <f>IF(OR(F25&lt;0,G25&lt;0,H25&lt;0,I25&lt;0),"Review negative input",IF(Q25&lt;-0.000001,"Review short position",IF(SUMIFS($K$7:K25,$C$7:C25,C25)&lt;-0.01,"Review negative cash",IF(COUNTIFS(History!$A$7:$A$136,B25)=0,"Review date","OK"))))</f>
        <v>OK</v>
      </c>
      <c r="T25" s="1" t="str">
        <f t="shared" si="7"/>
        <v>EVT-0019|2026-05-18|Model|BUY|SYN_BROAD_ETF|80.|248.1128|0.|20.</v>
      </c>
      <c r="U25" s="1" t="str">
        <f>IF(COUNTIFS(Transactions!$A$7:$A$1006,A25,Transactions!$J$7:$J$1006,T25)&gt;0,"Matched","Refresh required")</f>
        <v>Matched</v>
      </c>
      <c r="V25" s="8"/>
      <c r="W25" s="8"/>
      <c r="X25" s="8"/>
      <c r="Y25" s="8"/>
      <c r="Z25" s="8"/>
      <c r="AA25" s="8"/>
      <c r="AB25" s="8"/>
      <c r="AC25" s="8"/>
      <c r="AD25" s="8"/>
      <c r="AE25" s="1"/>
    </row>
    <row r="26" spans="1:31" ht="19.95" customHeight="1" x14ac:dyDescent="0.3">
      <c r="A26" s="1" t="s">
        <v>112</v>
      </c>
      <c r="B26" s="21">
        <v>46162</v>
      </c>
      <c r="C26" s="1" t="s">
        <v>100</v>
      </c>
      <c r="D26" s="1" t="s">
        <v>93</v>
      </c>
      <c r="E26" s="1" t="s">
        <v>58</v>
      </c>
      <c r="F26" s="8">
        <v>40</v>
      </c>
      <c r="G26" s="8">
        <v>247.93969999999999</v>
      </c>
      <c r="H26" s="8">
        <v>0</v>
      </c>
      <c r="I26" s="8">
        <v>15</v>
      </c>
      <c r="J26" s="8">
        <f t="shared" si="0"/>
        <v>40</v>
      </c>
      <c r="K26" s="8">
        <f t="shared" si="1"/>
        <v>-9932.5879999999997</v>
      </c>
      <c r="L26" s="8">
        <f t="shared" si="2"/>
        <v>0</v>
      </c>
      <c r="M26" s="8">
        <f>SUMIFS($J$6:J25,$C$6:C25,C26,$E$6:E25,E26)</f>
        <v>200</v>
      </c>
      <c r="N26" s="8">
        <f>SUMIFS($O$6:O25,$C$6:C25,C26,$E$6:E25,E26)</f>
        <v>50015</v>
      </c>
      <c r="O26" s="8">
        <f t="shared" si="3"/>
        <v>9932.5879999999997</v>
      </c>
      <c r="P26" s="8">
        <f t="shared" si="4"/>
        <v>0</v>
      </c>
      <c r="Q26" s="8">
        <f t="shared" si="5"/>
        <v>240</v>
      </c>
      <c r="R26" s="8">
        <f t="shared" si="6"/>
        <v>59947.588000000003</v>
      </c>
      <c r="S26" s="1" t="str">
        <f>IF(OR(F26&lt;0,G26&lt;0,H26&lt;0,I26&lt;0),"Review negative input",IF(Q26&lt;-0.000001,"Review short position",IF(SUMIFS($K$7:K26,$C$7:C26,C26)&lt;-0.01,"Review negative cash",IF(COUNTIFS(History!$A$7:$A$136,B26)=0,"Review date","OK"))))</f>
        <v>OK</v>
      </c>
      <c r="T26" s="1" t="str">
        <f t="shared" si="7"/>
        <v>EVT-0020|2026-05-20|Practice|BUY|SYN_BROAD_ETF|40.|247.9397|0.|15.</v>
      </c>
      <c r="U26" s="1" t="str">
        <f>IF(COUNTIFS(Transactions!$A$7:$A$1006,A26,Transactions!$J$7:$J$1006,T26)&gt;0,"Matched","Refresh required")</f>
        <v>Matched</v>
      </c>
      <c r="V26" s="8"/>
      <c r="W26" s="8"/>
      <c r="X26" s="8"/>
      <c r="Y26" s="8"/>
      <c r="Z26" s="8"/>
      <c r="AA26" s="8"/>
      <c r="AB26" s="8"/>
      <c r="AC26" s="8"/>
      <c r="AD26" s="8"/>
      <c r="AE26" s="1"/>
    </row>
    <row r="27" spans="1:31" ht="19.95" customHeight="1" x14ac:dyDescent="0.3">
      <c r="A27" s="1" t="s">
        <v>113</v>
      </c>
      <c r="B27" s="21">
        <v>46177</v>
      </c>
      <c r="C27" s="1" t="s">
        <v>1</v>
      </c>
      <c r="D27" s="1" t="s">
        <v>114</v>
      </c>
      <c r="E27" s="1" t="s">
        <v>55</v>
      </c>
      <c r="F27" s="8">
        <v>50</v>
      </c>
      <c r="G27" s="8">
        <v>410.0675</v>
      </c>
      <c r="H27" s="8">
        <v>0</v>
      </c>
      <c r="I27" s="8">
        <v>25</v>
      </c>
      <c r="J27" s="8">
        <f t="shared" si="0"/>
        <v>-50</v>
      </c>
      <c r="K27" s="8">
        <f t="shared" si="1"/>
        <v>20478.375</v>
      </c>
      <c r="L27" s="8">
        <f t="shared" si="2"/>
        <v>0</v>
      </c>
      <c r="M27" s="8">
        <f>SUMIFS($J$6:J26,$C$6:C26,C27,$E$6:E26,E27)</f>
        <v>180</v>
      </c>
      <c r="N27" s="8">
        <f>SUMIFS($O$6:O26,$C$6:C26,C27,$E$6:E26,E27)</f>
        <v>77430</v>
      </c>
      <c r="O27" s="8">
        <f t="shared" si="3"/>
        <v>-21508.333333333332</v>
      </c>
      <c r="P27" s="8">
        <f t="shared" si="4"/>
        <v>-1029.9583333333321</v>
      </c>
      <c r="Q27" s="8">
        <f t="shared" si="5"/>
        <v>130</v>
      </c>
      <c r="R27" s="8">
        <f t="shared" si="6"/>
        <v>55921.666666666672</v>
      </c>
      <c r="S27" s="1" t="str">
        <f>IF(OR(F27&lt;0,G27&lt;0,H27&lt;0,I27&lt;0),"Review negative input",IF(Q27&lt;-0.000001,"Review short position",IF(SUMIFS($K$7:K27,$C$7:C27,C27)&lt;-0.01,"Review negative cash",IF(COUNTIFS(History!$A$7:$A$136,B27)=0,"Review date","OK"))))</f>
        <v>OK</v>
      </c>
      <c r="T27" s="1" t="str">
        <f t="shared" si="7"/>
        <v>EVT-0021|2026-06-04|Model|SELL|SYN_INDUSTRY|50.|410.0675|0.|25.</v>
      </c>
      <c r="U27" s="1" t="str">
        <f>IF(COUNTIFS(Transactions!$A$7:$A$1006,A27,Transactions!$J$7:$J$1006,T27)&gt;0,"Matched","Refresh required")</f>
        <v>Matched</v>
      </c>
      <c r="V27" s="8"/>
      <c r="W27" s="8"/>
      <c r="X27" s="8"/>
      <c r="Y27" s="8"/>
      <c r="Z27" s="8"/>
      <c r="AA27" s="8"/>
      <c r="AB27" s="8"/>
      <c r="AC27" s="8"/>
      <c r="AD27" s="8"/>
      <c r="AE27" s="1"/>
    </row>
    <row r="28" spans="1:31" ht="19.95" customHeight="1" x14ac:dyDescent="0.3">
      <c r="A28" s="1" t="s">
        <v>115</v>
      </c>
      <c r="B28" s="21">
        <v>46188</v>
      </c>
      <c r="C28" s="1" t="s">
        <v>100</v>
      </c>
      <c r="D28" s="1" t="s">
        <v>114</v>
      </c>
      <c r="E28" s="1" t="s">
        <v>55</v>
      </c>
      <c r="F28" s="8">
        <v>20</v>
      </c>
      <c r="G28" s="8">
        <v>417.55799999999999</v>
      </c>
      <c r="H28" s="8">
        <v>0</v>
      </c>
      <c r="I28" s="8">
        <v>15</v>
      </c>
      <c r="J28" s="8">
        <f t="shared" si="0"/>
        <v>-20</v>
      </c>
      <c r="K28" s="8">
        <f t="shared" si="1"/>
        <v>8336.16</v>
      </c>
      <c r="L28" s="8">
        <f t="shared" si="2"/>
        <v>0</v>
      </c>
      <c r="M28" s="8">
        <f>SUMIFS($J$6:J27,$C$6:C27,C28,$E$6:E27,E28)</f>
        <v>90</v>
      </c>
      <c r="N28" s="8">
        <f>SUMIFS($O$6:O27,$C$6:C27,C28,$E$6:E27,E28)</f>
        <v>38715</v>
      </c>
      <c r="O28" s="8">
        <f t="shared" si="3"/>
        <v>-8603.3333333333339</v>
      </c>
      <c r="P28" s="8">
        <f t="shared" si="4"/>
        <v>-267.17333333333409</v>
      </c>
      <c r="Q28" s="8">
        <f t="shared" si="5"/>
        <v>70</v>
      </c>
      <c r="R28" s="8">
        <f t="shared" si="6"/>
        <v>30111.666666666664</v>
      </c>
      <c r="S28" s="1" t="str">
        <f>IF(OR(F28&lt;0,G28&lt;0,H28&lt;0,I28&lt;0),"Review negative input",IF(Q28&lt;-0.000001,"Review short position",IF(SUMIFS($K$7:K28,$C$7:C28,C28)&lt;-0.01,"Review negative cash",IF(COUNTIFS(History!$A$7:$A$136,B28)=0,"Review date","OK"))))</f>
        <v>OK</v>
      </c>
      <c r="T28" s="1" t="str">
        <f t="shared" si="7"/>
        <v>EVT-0022|2026-06-15|Practice|SELL|SYN_INDUSTRY|20.|417.558|0.|15.</v>
      </c>
      <c r="U28" s="1" t="str">
        <f>IF(COUNTIFS(Transactions!$A$7:$A$1006,A28,Transactions!$J$7:$J$1006,T28)&gt;0,"Matched","Refresh required")</f>
        <v>Matched</v>
      </c>
      <c r="V28" s="8"/>
      <c r="W28" s="8"/>
      <c r="X28" s="8"/>
      <c r="Y28" s="8"/>
      <c r="Z28" s="8"/>
      <c r="AA28" s="8"/>
      <c r="AB28" s="8"/>
      <c r="AC28" s="8"/>
      <c r="AD28" s="8"/>
      <c r="AE28" s="1"/>
    </row>
    <row r="29" spans="1:31" ht="19.95" customHeight="1" x14ac:dyDescent="0.3">
      <c r="A29" s="1" t="s">
        <v>116</v>
      </c>
      <c r="B29" s="21">
        <v>46195</v>
      </c>
      <c r="C29" s="1" t="s">
        <v>1</v>
      </c>
      <c r="D29" s="1" t="s">
        <v>117</v>
      </c>
      <c r="E29" s="1" t="s">
        <v>49</v>
      </c>
      <c r="F29" s="8">
        <v>100</v>
      </c>
      <c r="G29" s="8">
        <v>0</v>
      </c>
      <c r="H29" s="8">
        <v>0</v>
      </c>
      <c r="I29" s="8">
        <v>0</v>
      </c>
      <c r="J29" s="8">
        <f t="shared" si="0"/>
        <v>100</v>
      </c>
      <c r="K29" s="8">
        <f t="shared" si="1"/>
        <v>0</v>
      </c>
      <c r="L29" s="8">
        <f t="shared" si="2"/>
        <v>0</v>
      </c>
      <c r="M29" s="8">
        <f>SUMIFS($J$6:J28,$C$6:C28,C29,$E$6:E28,E29)</f>
        <v>100</v>
      </c>
      <c r="N29" s="8">
        <f>SUMIFS($O$6:O28,$C$6:C28,C29,$E$6:E28,E29)</f>
        <v>120030</v>
      </c>
      <c r="O29" s="8">
        <f t="shared" si="3"/>
        <v>0</v>
      </c>
      <c r="P29" s="8">
        <f t="shared" si="4"/>
        <v>0</v>
      </c>
      <c r="Q29" s="8">
        <f t="shared" si="5"/>
        <v>200</v>
      </c>
      <c r="R29" s="8">
        <f t="shared" si="6"/>
        <v>120030</v>
      </c>
      <c r="S29" s="1" t="str">
        <f>IF(OR(F29&lt;0,G29&lt;0,H29&lt;0,I29&lt;0),"Review negative input",IF(Q29&lt;-0.000001,"Review short position",IF(SUMIFS($K$7:K29,$C$7:C29,C29)&lt;-0.01,"Review negative cash",IF(COUNTIFS(History!$A$7:$A$136,B29)=0,"Review date","OK"))))</f>
        <v>OK</v>
      </c>
      <c r="T29" s="1" t="str">
        <f t="shared" si="7"/>
        <v>EVT-0023|2026-06-22|Model|SPLIT|SYN_TECH|100.|0.|0.|0.</v>
      </c>
      <c r="U29" s="1" t="str">
        <f>IF(COUNTIFS(Transactions!$A$7:$A$1006,A29,Transactions!$J$7:$J$1006,T29)&gt;0,"Matched","Refresh required")</f>
        <v>Matched</v>
      </c>
      <c r="V29" s="8"/>
      <c r="W29" s="8"/>
      <c r="X29" s="8"/>
      <c r="Y29" s="8"/>
      <c r="Z29" s="8"/>
      <c r="AA29" s="8"/>
      <c r="AB29" s="8"/>
      <c r="AC29" s="8"/>
      <c r="AD29" s="8"/>
      <c r="AE29" s="1"/>
    </row>
    <row r="30" spans="1:31" ht="19.95" customHeight="1" x14ac:dyDescent="0.3">
      <c r="A30" s="1" t="s">
        <v>118</v>
      </c>
      <c r="B30" s="21">
        <v>46195</v>
      </c>
      <c r="C30" s="1" t="s">
        <v>100</v>
      </c>
      <c r="D30" s="1" t="s">
        <v>117</v>
      </c>
      <c r="E30" s="1" t="s">
        <v>49</v>
      </c>
      <c r="F30" s="8">
        <v>50</v>
      </c>
      <c r="G30" s="8">
        <v>0</v>
      </c>
      <c r="H30" s="8">
        <v>0</v>
      </c>
      <c r="I30" s="8">
        <v>0</v>
      </c>
      <c r="J30" s="8">
        <f t="shared" si="0"/>
        <v>50</v>
      </c>
      <c r="K30" s="8">
        <f t="shared" si="1"/>
        <v>0</v>
      </c>
      <c r="L30" s="8">
        <f t="shared" si="2"/>
        <v>0</v>
      </c>
      <c r="M30" s="8">
        <f>SUMIFS($J$6:J29,$C$6:C29,C30,$E$6:E29,E30)</f>
        <v>50</v>
      </c>
      <c r="N30" s="8">
        <f>SUMIFS($O$6:O29,$C$6:C29,C30,$E$6:E29,E30)</f>
        <v>60015</v>
      </c>
      <c r="O30" s="8">
        <f t="shared" si="3"/>
        <v>0</v>
      </c>
      <c r="P30" s="8">
        <f t="shared" si="4"/>
        <v>0</v>
      </c>
      <c r="Q30" s="8">
        <f t="shared" si="5"/>
        <v>100</v>
      </c>
      <c r="R30" s="8">
        <f t="shared" si="6"/>
        <v>60015</v>
      </c>
      <c r="S30" s="1" t="str">
        <f>IF(OR(F30&lt;0,G30&lt;0,H30&lt;0,I30&lt;0),"Review negative input",IF(Q30&lt;-0.000001,"Review short position",IF(SUMIFS($K$7:K30,$C$7:C30,C30)&lt;-0.01,"Review negative cash",IF(COUNTIFS(History!$A$7:$A$136,B30)=0,"Review date","OK"))))</f>
        <v>OK</v>
      </c>
      <c r="T30" s="1" t="str">
        <f t="shared" si="7"/>
        <v>EVT-0024|2026-06-22|Practice|SPLIT|SYN_TECH|50.|0.|0.|0.</v>
      </c>
      <c r="U30" s="1" t="str">
        <f>IF(COUNTIFS(Transactions!$A$7:$A$1006,A30,Transactions!$J$7:$J$1006,T30)&gt;0,"Matched","Refresh required")</f>
        <v>Matched</v>
      </c>
      <c r="V30" s="8"/>
      <c r="W30" s="8"/>
      <c r="X30" s="8"/>
      <c r="Y30" s="8"/>
      <c r="Z30" s="8"/>
      <c r="AA30" s="8"/>
      <c r="AB30" s="8"/>
      <c r="AC30" s="8"/>
      <c r="AD30" s="8"/>
      <c r="AE30" s="1"/>
    </row>
    <row r="31" spans="1:31" ht="19.95" customHeight="1" x14ac:dyDescent="0.3">
      <c r="A31" s="1" t="s">
        <v>119</v>
      </c>
      <c r="B31" s="21">
        <v>46210</v>
      </c>
      <c r="C31" s="1" t="s">
        <v>1</v>
      </c>
      <c r="D31" s="1" t="s">
        <v>93</v>
      </c>
      <c r="E31" s="1" t="s">
        <v>52</v>
      </c>
      <c r="F31" s="8">
        <v>10</v>
      </c>
      <c r="G31" s="8">
        <v>875.21609999999998</v>
      </c>
      <c r="H31" s="8">
        <v>0</v>
      </c>
      <c r="I31" s="8">
        <v>20</v>
      </c>
      <c r="J31" s="8">
        <f t="shared" si="0"/>
        <v>10</v>
      </c>
      <c r="K31" s="8">
        <f t="shared" si="1"/>
        <v>-8772.1610000000001</v>
      </c>
      <c r="L31" s="8">
        <f t="shared" si="2"/>
        <v>0</v>
      </c>
      <c r="M31" s="8">
        <f>SUMIFS($J$6:J30,$C$6:C30,C31,$E$6:E30,E31)</f>
        <v>70</v>
      </c>
      <c r="N31" s="8">
        <f>SUMIFS($O$6:O30,$C$6:C30,C31,$E$6:E30,E31)</f>
        <v>59530</v>
      </c>
      <c r="O31" s="8">
        <f t="shared" si="3"/>
        <v>8772.1610000000001</v>
      </c>
      <c r="P31" s="8">
        <f t="shared" si="4"/>
        <v>0</v>
      </c>
      <c r="Q31" s="8">
        <f t="shared" si="5"/>
        <v>80</v>
      </c>
      <c r="R31" s="8">
        <f t="shared" si="6"/>
        <v>68302.160999999993</v>
      </c>
      <c r="S31" s="1" t="str">
        <f>IF(OR(F31&lt;0,G31&lt;0,H31&lt;0,I31&lt;0),"Review negative input",IF(Q31&lt;-0.000001,"Review short position",IF(SUMIFS($K$7:K31,$C$7:C31,C31)&lt;-0.01,"Review negative cash",IF(COUNTIFS(History!$A$7:$A$136,B31)=0,"Review date","OK"))))</f>
        <v>OK</v>
      </c>
      <c r="T31" s="1" t="str">
        <f t="shared" si="7"/>
        <v>EVT-0025|2026-07-07|Model|BUY|SYN_HEALTH|10.|875.2161|0.|20.</v>
      </c>
      <c r="U31" s="1" t="str">
        <f>IF(COUNTIFS(Transactions!$A$7:$A$1006,A31,Transactions!$J$7:$J$1006,T31)&gt;0,"Matched","Refresh required")</f>
        <v>Matched</v>
      </c>
      <c r="V31" s="8"/>
      <c r="W31" s="8"/>
      <c r="X31" s="8"/>
      <c r="Y31" s="8"/>
      <c r="Z31" s="8"/>
      <c r="AA31" s="8"/>
      <c r="AB31" s="8"/>
      <c r="AC31" s="8"/>
      <c r="AD31" s="8"/>
      <c r="AE31" s="1"/>
    </row>
    <row r="32" spans="1:31" ht="19.95" customHeight="1" x14ac:dyDescent="0.3">
      <c r="A32" s="1" t="s">
        <v>120</v>
      </c>
      <c r="B32" s="21">
        <v>46213</v>
      </c>
      <c r="C32" s="1" t="s">
        <v>100</v>
      </c>
      <c r="D32" s="1" t="s">
        <v>93</v>
      </c>
      <c r="E32" s="1" t="s">
        <v>52</v>
      </c>
      <c r="F32" s="8">
        <v>5</v>
      </c>
      <c r="G32" s="8">
        <v>892.71820000000002</v>
      </c>
      <c r="H32" s="8">
        <v>0</v>
      </c>
      <c r="I32" s="8">
        <v>15</v>
      </c>
      <c r="J32" s="8">
        <f t="shared" si="0"/>
        <v>5</v>
      </c>
      <c r="K32" s="8">
        <f t="shared" si="1"/>
        <v>-4478.5910000000003</v>
      </c>
      <c r="L32" s="8">
        <f t="shared" si="2"/>
        <v>0</v>
      </c>
      <c r="M32" s="8">
        <f>SUMIFS($J$6:J31,$C$6:C31,C32,$E$6:E31,E32)</f>
        <v>35</v>
      </c>
      <c r="N32" s="8">
        <f>SUMIFS($O$6:O31,$C$6:C31,C32,$E$6:E31,E32)</f>
        <v>29765</v>
      </c>
      <c r="O32" s="8">
        <f t="shared" si="3"/>
        <v>4478.5910000000003</v>
      </c>
      <c r="P32" s="8">
        <f t="shared" si="4"/>
        <v>0</v>
      </c>
      <c r="Q32" s="8">
        <f t="shared" si="5"/>
        <v>40</v>
      </c>
      <c r="R32" s="8">
        <f t="shared" si="6"/>
        <v>34243.591</v>
      </c>
      <c r="S32" s="1" t="str">
        <f>IF(OR(F32&lt;0,G32&lt;0,H32&lt;0,I32&lt;0),"Review negative input",IF(Q32&lt;-0.000001,"Review short position",IF(SUMIFS($K$7:K32,$C$7:C32,C32)&lt;-0.01,"Review negative cash",IF(COUNTIFS(History!$A$7:$A$136,B32)=0,"Review date","OK"))))</f>
        <v>OK</v>
      </c>
      <c r="T32" s="1" t="str">
        <f t="shared" si="7"/>
        <v>EVT-0026|2026-07-10|Practice|BUY|SYN_HEALTH|5.|892.7182|0.|15.</v>
      </c>
      <c r="U32" s="1" t="str">
        <f>IF(COUNTIFS(Transactions!$A$7:$A$1006,A32,Transactions!$J$7:$J$1006,T32)&gt;0,"Matched","Refresh required")</f>
        <v>Matched</v>
      </c>
      <c r="V32" s="8"/>
      <c r="W32" s="8"/>
      <c r="X32" s="8"/>
      <c r="Y32" s="8"/>
      <c r="Z32" s="8"/>
      <c r="AA32" s="8"/>
      <c r="AB32" s="8"/>
      <c r="AC32" s="8"/>
      <c r="AD32" s="8"/>
      <c r="AE32" s="1"/>
    </row>
    <row r="33" spans="1:31" ht="19.95" customHeight="1" x14ac:dyDescent="0.3">
      <c r="A33" s="1" t="s">
        <v>121</v>
      </c>
      <c r="B33" s="21">
        <v>46227</v>
      </c>
      <c r="C33" s="1" t="s">
        <v>1</v>
      </c>
      <c r="D33" s="1" t="s">
        <v>122</v>
      </c>
      <c r="E33" s="1" t="s">
        <v>52</v>
      </c>
      <c r="F33" s="8">
        <v>0</v>
      </c>
      <c r="G33" s="8">
        <v>0</v>
      </c>
      <c r="H33" s="8">
        <v>100</v>
      </c>
      <c r="I33" s="8">
        <v>0</v>
      </c>
      <c r="J33" s="8">
        <f t="shared" si="0"/>
        <v>0</v>
      </c>
      <c r="K33" s="8">
        <f t="shared" si="1"/>
        <v>100</v>
      </c>
      <c r="L33" s="8">
        <f t="shared" si="2"/>
        <v>0</v>
      </c>
      <c r="M33" s="8">
        <f>SUMIFS($J$6:J32,$C$6:C32,C33,$E$6:E32,E33)</f>
        <v>80</v>
      </c>
      <c r="N33" s="8">
        <f>SUMIFS($O$6:O32,$C$6:C32,C33,$E$6:E32,E33)</f>
        <v>68302.160999999993</v>
      </c>
      <c r="O33" s="8">
        <f t="shared" si="3"/>
        <v>0</v>
      </c>
      <c r="P33" s="8">
        <f t="shared" si="4"/>
        <v>0</v>
      </c>
      <c r="Q33" s="8">
        <f t="shared" si="5"/>
        <v>80</v>
      </c>
      <c r="R33" s="8">
        <f t="shared" si="6"/>
        <v>68302.160999999993</v>
      </c>
      <c r="S33" s="1" t="str">
        <f>IF(OR(F33&lt;0,G33&lt;0,H33&lt;0,I33&lt;0),"Review negative input",IF(Q33&lt;-0.000001,"Review short position",IF(SUMIFS($K$7:K33,$C$7:C33,C33)&lt;-0.01,"Review negative cash",IF(COUNTIFS(History!$A$7:$A$136,B33)=0,"Review date","OK"))))</f>
        <v>OK</v>
      </c>
      <c r="T33" s="1" t="str">
        <f t="shared" si="7"/>
        <v>EVT-0027|2026-07-24|Model|DIVIDEND|SYN_HEALTH|0.|0.|100.|0.</v>
      </c>
      <c r="U33" s="1" t="str">
        <f>IF(COUNTIFS(Transactions!$A$7:$A$1006,A33,Transactions!$J$7:$J$1006,T33)&gt;0,"Matched","Refresh required")</f>
        <v>Matched</v>
      </c>
      <c r="V33" s="8"/>
      <c r="W33" s="8"/>
      <c r="X33" s="8"/>
      <c r="Y33" s="8"/>
      <c r="Z33" s="8"/>
      <c r="AA33" s="8"/>
      <c r="AB33" s="8"/>
      <c r="AC33" s="8"/>
      <c r="AD33" s="8"/>
      <c r="AE33" s="1"/>
    </row>
    <row r="34" spans="1:31" ht="19.95" customHeight="1" x14ac:dyDescent="0.3">
      <c r="A34" s="1" t="s">
        <v>123</v>
      </c>
      <c r="B34" s="21">
        <v>46227</v>
      </c>
      <c r="C34" s="1" t="s">
        <v>100</v>
      </c>
      <c r="D34" s="1" t="s">
        <v>122</v>
      </c>
      <c r="E34" s="1" t="s">
        <v>52</v>
      </c>
      <c r="F34" s="8">
        <v>0</v>
      </c>
      <c r="G34" s="8">
        <v>0</v>
      </c>
      <c r="H34" s="8">
        <v>50</v>
      </c>
      <c r="I34" s="8">
        <v>0</v>
      </c>
      <c r="J34" s="8">
        <f t="shared" si="0"/>
        <v>0</v>
      </c>
      <c r="K34" s="8">
        <f t="shared" si="1"/>
        <v>50</v>
      </c>
      <c r="L34" s="8">
        <f t="shared" si="2"/>
        <v>0</v>
      </c>
      <c r="M34" s="8">
        <f>SUMIFS($J$6:J33,$C$6:C33,C34,$E$6:E33,E34)</f>
        <v>40</v>
      </c>
      <c r="N34" s="8">
        <f>SUMIFS($O$6:O33,$C$6:C33,C34,$E$6:E33,E34)</f>
        <v>34243.591</v>
      </c>
      <c r="O34" s="8">
        <f t="shared" si="3"/>
        <v>0</v>
      </c>
      <c r="P34" s="8">
        <f t="shared" si="4"/>
        <v>0</v>
      </c>
      <c r="Q34" s="8">
        <f t="shared" si="5"/>
        <v>40</v>
      </c>
      <c r="R34" s="8">
        <f t="shared" si="6"/>
        <v>34243.591</v>
      </c>
      <c r="S34" s="1" t="str">
        <f>IF(OR(F34&lt;0,G34&lt;0,H34&lt;0,I34&lt;0),"Review negative input",IF(Q34&lt;-0.000001,"Review short position",IF(SUMIFS($K$7:K34,$C$7:C34,C34)&lt;-0.01,"Review negative cash",IF(COUNTIFS(History!$A$7:$A$136,B34)=0,"Review date","OK"))))</f>
        <v>OK</v>
      </c>
      <c r="T34" s="1" t="str">
        <f t="shared" si="7"/>
        <v>EVT-0028|2026-07-24|Practice|DIVIDEND|SYN_HEALTH|0.|0.|50.|0.</v>
      </c>
      <c r="U34" s="1" t="str">
        <f>IF(COUNTIFS(Transactions!$A$7:$A$1006,A34,Transactions!$J$7:$J$1006,T34)&gt;0,"Matched","Refresh required")</f>
        <v>Matched</v>
      </c>
      <c r="V34" s="8"/>
      <c r="W34" s="8"/>
      <c r="X34" s="8"/>
      <c r="Y34" s="8"/>
      <c r="Z34" s="8"/>
      <c r="AA34" s="8"/>
      <c r="AB34" s="8"/>
      <c r="AC34" s="8"/>
      <c r="AD34" s="8"/>
      <c r="AE34" s="1"/>
    </row>
    <row r="35" spans="1:31" ht="19.95" customHeight="1" x14ac:dyDescent="0.3">
      <c r="A35" s="1" t="s">
        <v>124</v>
      </c>
      <c r="B35" s="21">
        <v>46231</v>
      </c>
      <c r="C35" s="1" t="s">
        <v>1</v>
      </c>
      <c r="D35" s="1" t="s">
        <v>125</v>
      </c>
      <c r="E35" s="1" t="s">
        <v>91</v>
      </c>
      <c r="F35" s="8">
        <v>0</v>
      </c>
      <c r="G35" s="8">
        <v>0</v>
      </c>
      <c r="H35" s="8">
        <v>60</v>
      </c>
      <c r="I35" s="8">
        <v>0</v>
      </c>
      <c r="J35" s="8">
        <f t="shared" si="0"/>
        <v>0</v>
      </c>
      <c r="K35" s="8">
        <f t="shared" si="1"/>
        <v>-60</v>
      </c>
      <c r="L35" s="8">
        <f t="shared" si="2"/>
        <v>0</v>
      </c>
      <c r="M35" s="8">
        <f>SUMIFS($J$6:J34,$C$6:C34,C35,$E$6:E34,E35)</f>
        <v>0</v>
      </c>
      <c r="N35" s="8">
        <f>SUMIFS($O$6:O34,$C$6:C34,C35,$E$6:E34,E35)</f>
        <v>0</v>
      </c>
      <c r="O35" s="8">
        <f t="shared" si="3"/>
        <v>0</v>
      </c>
      <c r="P35" s="8">
        <f t="shared" si="4"/>
        <v>0</v>
      </c>
      <c r="Q35" s="8">
        <f t="shared" si="5"/>
        <v>0</v>
      </c>
      <c r="R35" s="8">
        <f t="shared" si="6"/>
        <v>0</v>
      </c>
      <c r="S35" s="1" t="str">
        <f>IF(OR(F35&lt;0,G35&lt;0,H35&lt;0,I35&lt;0),"Review negative input",IF(Q35&lt;-0.000001,"Review short position",IF(SUMIFS($K$7:K35,$C$7:C35,C35)&lt;-0.01,"Review negative cash",IF(COUNTIFS(History!$A$7:$A$136,B35)=0,"Review date","OK"))))</f>
        <v>OK</v>
      </c>
      <c r="T35" s="1" t="str">
        <f t="shared" si="7"/>
        <v>EVT-0029|2026-07-28|Model|FEE|CASH|0.|0.|60.|0.</v>
      </c>
      <c r="U35" s="1" t="str">
        <f>IF(COUNTIFS(Transactions!$A$7:$A$1006,A35,Transactions!$J$7:$J$1006,T35)&gt;0,"Matched","Refresh required")</f>
        <v>Matched</v>
      </c>
      <c r="V35" s="8"/>
      <c r="W35" s="8"/>
      <c r="X35" s="8"/>
      <c r="Y35" s="8"/>
      <c r="Z35" s="8"/>
      <c r="AA35" s="8"/>
      <c r="AB35" s="8"/>
      <c r="AC35" s="8"/>
      <c r="AD35" s="8"/>
      <c r="AE35" s="1"/>
    </row>
    <row r="36" spans="1:31" ht="19.95" customHeight="1" x14ac:dyDescent="0.3">
      <c r="A36" s="1" t="s">
        <v>126</v>
      </c>
      <c r="B36" s="21">
        <v>46231</v>
      </c>
      <c r="C36" s="1" t="s">
        <v>100</v>
      </c>
      <c r="D36" s="1" t="s">
        <v>125</v>
      </c>
      <c r="E36" s="1" t="s">
        <v>91</v>
      </c>
      <c r="F36" s="8">
        <v>0</v>
      </c>
      <c r="G36" s="8">
        <v>0</v>
      </c>
      <c r="H36" s="8">
        <v>40</v>
      </c>
      <c r="I36" s="8">
        <v>0</v>
      </c>
      <c r="J36" s="8">
        <f t="shared" si="0"/>
        <v>0</v>
      </c>
      <c r="K36" s="8">
        <f t="shared" si="1"/>
        <v>-40</v>
      </c>
      <c r="L36" s="8">
        <f t="shared" si="2"/>
        <v>0</v>
      </c>
      <c r="M36" s="8">
        <f>SUMIFS($J$6:J35,$C$6:C35,C36,$E$6:E35,E36)</f>
        <v>0</v>
      </c>
      <c r="N36" s="8">
        <f>SUMIFS($O$6:O35,$C$6:C35,C36,$E$6:E35,E36)</f>
        <v>0</v>
      </c>
      <c r="O36" s="8">
        <f t="shared" si="3"/>
        <v>0</v>
      </c>
      <c r="P36" s="8">
        <f t="shared" si="4"/>
        <v>0</v>
      </c>
      <c r="Q36" s="8">
        <f t="shared" si="5"/>
        <v>0</v>
      </c>
      <c r="R36" s="8">
        <f t="shared" si="6"/>
        <v>0</v>
      </c>
      <c r="S36" s="1" t="str">
        <f>IF(OR(F36&lt;0,G36&lt;0,H36&lt;0,I36&lt;0),"Review negative input",IF(Q36&lt;-0.000001,"Review short position",IF(SUMIFS($K$7:K36,$C$7:C36,C36)&lt;-0.01,"Review negative cash",IF(COUNTIFS(History!$A$7:$A$136,B36)=0,"Review date","OK"))))</f>
        <v>OK</v>
      </c>
      <c r="T36" s="1" t="str">
        <f t="shared" si="7"/>
        <v>EVT-0030|2026-07-28|Practice|FEE|CASH|0.|0.|40.|0.</v>
      </c>
      <c r="U36" s="1" t="str">
        <f>IF(COUNTIFS(Transactions!$A$7:$A$1006,A36,Transactions!$J$7:$J$1006,T36)&gt;0,"Matched","Refresh required")</f>
        <v>Matched</v>
      </c>
      <c r="V36" s="8"/>
      <c r="W36" s="8"/>
      <c r="X36" s="8"/>
      <c r="Y36" s="8"/>
      <c r="Z36" s="8"/>
      <c r="AA36" s="8"/>
      <c r="AB36" s="8"/>
      <c r="AC36" s="8"/>
      <c r="AD36" s="8"/>
      <c r="AE36" s="1"/>
    </row>
    <row r="37" spans="1:31" ht="19.95" customHeight="1" x14ac:dyDescent="0.3">
      <c r="A37" s="1" t="s">
        <v>127</v>
      </c>
      <c r="B37" s="21">
        <v>46234</v>
      </c>
      <c r="C37" s="1" t="s">
        <v>1</v>
      </c>
      <c r="D37" s="1" t="s">
        <v>128</v>
      </c>
      <c r="E37" s="1" t="s">
        <v>91</v>
      </c>
      <c r="F37" s="8">
        <v>0</v>
      </c>
      <c r="G37" s="8">
        <v>0</v>
      </c>
      <c r="H37" s="8">
        <v>15000</v>
      </c>
      <c r="I37" s="8">
        <v>0</v>
      </c>
      <c r="J37" s="8">
        <f t="shared" si="0"/>
        <v>0</v>
      </c>
      <c r="K37" s="8">
        <f t="shared" si="1"/>
        <v>-15000</v>
      </c>
      <c r="L37" s="8">
        <f t="shared" si="2"/>
        <v>-15000</v>
      </c>
      <c r="M37" s="8">
        <f>SUMIFS($J$6:J36,$C$6:C36,C37,$E$6:E36,E37)</f>
        <v>0</v>
      </c>
      <c r="N37" s="8">
        <f>SUMIFS($O$6:O36,$C$6:C36,C37,$E$6:E36,E37)</f>
        <v>0</v>
      </c>
      <c r="O37" s="8">
        <f t="shared" si="3"/>
        <v>0</v>
      </c>
      <c r="P37" s="8">
        <f t="shared" si="4"/>
        <v>0</v>
      </c>
      <c r="Q37" s="8">
        <f t="shared" si="5"/>
        <v>0</v>
      </c>
      <c r="R37" s="8">
        <f t="shared" si="6"/>
        <v>0</v>
      </c>
      <c r="S37" s="1" t="str">
        <f>IF(OR(F37&lt;0,G37&lt;0,H37&lt;0,I37&lt;0),"Review negative input",IF(Q37&lt;-0.000001,"Review short position",IF(SUMIFS($K$7:K37,$C$7:C37,C37)&lt;-0.01,"Review negative cash",IF(COUNTIFS(History!$A$7:$A$136,B37)=0,"Review date","OK"))))</f>
        <v>OK</v>
      </c>
      <c r="T37" s="1" t="str">
        <f t="shared" si="7"/>
        <v>EVT-0031|2026-07-31|Model|WITHDRAW|CASH|0.|0.|15000.|0.</v>
      </c>
      <c r="U37" s="1" t="str">
        <f>IF(COUNTIFS(Transactions!$A$7:$A$1006,A37,Transactions!$J$7:$J$1006,T37)&gt;0,"Matched","Refresh required")</f>
        <v>Matched</v>
      </c>
      <c r="V37" s="8"/>
      <c r="W37" s="8"/>
      <c r="X37" s="8"/>
      <c r="Y37" s="8"/>
      <c r="Z37" s="8"/>
      <c r="AA37" s="8"/>
      <c r="AB37" s="8"/>
      <c r="AC37" s="8"/>
      <c r="AD37" s="8"/>
      <c r="AE37" s="1"/>
    </row>
    <row r="38" spans="1:31" ht="19.95" customHeight="1" x14ac:dyDescent="0.3">
      <c r="A38" s="1" t="s">
        <v>129</v>
      </c>
      <c r="B38" s="21">
        <v>46239</v>
      </c>
      <c r="C38" s="1" t="s">
        <v>100</v>
      </c>
      <c r="D38" s="1" t="s">
        <v>128</v>
      </c>
      <c r="E38" s="1" t="s">
        <v>91</v>
      </c>
      <c r="F38" s="8">
        <v>0</v>
      </c>
      <c r="G38" s="8">
        <v>0</v>
      </c>
      <c r="H38" s="8">
        <v>7000</v>
      </c>
      <c r="I38" s="8">
        <v>0</v>
      </c>
      <c r="J38" s="8">
        <f t="shared" si="0"/>
        <v>0</v>
      </c>
      <c r="K38" s="8">
        <f t="shared" si="1"/>
        <v>-7000</v>
      </c>
      <c r="L38" s="8">
        <f t="shared" si="2"/>
        <v>-7000</v>
      </c>
      <c r="M38" s="8">
        <f>SUMIFS($J$6:J37,$C$6:C37,C38,$E$6:E37,E38)</f>
        <v>0</v>
      </c>
      <c r="N38" s="8">
        <f>SUMIFS($O$6:O37,$C$6:C37,C38,$E$6:E37,E38)</f>
        <v>0</v>
      </c>
      <c r="O38" s="8">
        <f t="shared" si="3"/>
        <v>0</v>
      </c>
      <c r="P38" s="8">
        <f t="shared" si="4"/>
        <v>0</v>
      </c>
      <c r="Q38" s="8">
        <f t="shared" si="5"/>
        <v>0</v>
      </c>
      <c r="R38" s="8">
        <f t="shared" si="6"/>
        <v>0</v>
      </c>
      <c r="S38" s="1" t="str">
        <f>IF(OR(F38&lt;0,G38&lt;0,H38&lt;0,I38&lt;0),"Review negative input",IF(Q38&lt;-0.000001,"Review short position",IF(SUMIFS($K$7:K38,$C$7:C38,C38)&lt;-0.01,"Review negative cash",IF(COUNTIFS(History!$A$7:$A$136,B38)=0,"Review date","OK"))))</f>
        <v>OK</v>
      </c>
      <c r="T38" s="1" t="str">
        <f t="shared" si="7"/>
        <v>EVT-0032|2026-08-05|Practice|WITHDRAW|CASH|0.|0.|7000.|0.</v>
      </c>
      <c r="U38" s="1" t="str">
        <f>IF(COUNTIFS(Transactions!$A$7:$A$1006,A38,Transactions!$J$7:$J$1006,T38)&gt;0,"Matched","Refresh required")</f>
        <v>Matched</v>
      </c>
      <c r="V38" s="8"/>
      <c r="W38" s="8"/>
      <c r="X38" s="8"/>
      <c r="Y38" s="8"/>
      <c r="Z38" s="8"/>
      <c r="AA38" s="8"/>
      <c r="AB38" s="8"/>
      <c r="AC38" s="8"/>
      <c r="AD38" s="8"/>
      <c r="AE38" s="1"/>
    </row>
    <row r="39" spans="1:31" ht="19.95" customHeight="1" x14ac:dyDescent="0.3">
      <c r="A39" s="1" t="s">
        <v>130</v>
      </c>
      <c r="B39" s="21">
        <v>46248</v>
      </c>
      <c r="C39" s="1" t="s">
        <v>1</v>
      </c>
      <c r="D39" s="1" t="s">
        <v>93</v>
      </c>
      <c r="E39" s="1" t="s">
        <v>49</v>
      </c>
      <c r="F39" s="8">
        <v>20</v>
      </c>
      <c r="G39" s="8">
        <v>573.14520000000005</v>
      </c>
      <c r="H39" s="8">
        <v>0</v>
      </c>
      <c r="I39" s="8">
        <v>20</v>
      </c>
      <c r="J39" s="8">
        <f t="shared" si="0"/>
        <v>20</v>
      </c>
      <c r="K39" s="8">
        <f t="shared" si="1"/>
        <v>-11482.904</v>
      </c>
      <c r="L39" s="8">
        <f t="shared" si="2"/>
        <v>0</v>
      </c>
      <c r="M39" s="8">
        <f>SUMIFS($J$6:J38,$C$6:C38,C39,$E$6:E38,E39)</f>
        <v>200</v>
      </c>
      <c r="N39" s="8">
        <f>SUMIFS($O$6:O38,$C$6:C38,C39,$E$6:E38,E39)</f>
        <v>120030</v>
      </c>
      <c r="O39" s="8">
        <f t="shared" si="3"/>
        <v>11482.904</v>
      </c>
      <c r="P39" s="8">
        <f t="shared" si="4"/>
        <v>0</v>
      </c>
      <c r="Q39" s="8">
        <f t="shared" si="5"/>
        <v>220</v>
      </c>
      <c r="R39" s="8">
        <f t="shared" si="6"/>
        <v>131512.90400000001</v>
      </c>
      <c r="S39" s="1" t="str">
        <f>IF(OR(F39&lt;0,G39&lt;0,H39&lt;0,I39&lt;0),"Review negative input",IF(Q39&lt;-0.000001,"Review short position",IF(SUMIFS($K$7:K39,$C$7:C39,C39)&lt;-0.01,"Review negative cash",IF(COUNTIFS(History!$A$7:$A$136,B39)=0,"Review date","OK"))))</f>
        <v>OK</v>
      </c>
      <c r="T39" s="1" t="str">
        <f t="shared" si="7"/>
        <v>EVT-0033|2026-08-14|Model|BUY|SYN_TECH|20.|573.1452|0.|20.</v>
      </c>
      <c r="U39" s="1" t="str">
        <f>IF(COUNTIFS(Transactions!$A$7:$A$1006,A39,Transactions!$J$7:$J$1006,T39)&gt;0,"Matched","Refresh required")</f>
        <v>Matched</v>
      </c>
      <c r="V39" s="8"/>
      <c r="W39" s="8"/>
      <c r="X39" s="8"/>
      <c r="Y39" s="8"/>
      <c r="Z39" s="8"/>
      <c r="AA39" s="8"/>
      <c r="AB39" s="8"/>
      <c r="AC39" s="8"/>
      <c r="AD39" s="8"/>
      <c r="AE39" s="1"/>
    </row>
    <row r="40" spans="1:31" ht="19.95" customHeight="1" x14ac:dyDescent="0.3">
      <c r="A40" s="1" t="s">
        <v>131</v>
      </c>
      <c r="B40" s="21">
        <v>46252</v>
      </c>
      <c r="C40" s="1" t="s">
        <v>100</v>
      </c>
      <c r="D40" s="1" t="s">
        <v>93</v>
      </c>
      <c r="E40" s="1" t="s">
        <v>49</v>
      </c>
      <c r="F40" s="8">
        <v>10</v>
      </c>
      <c r="G40" s="8">
        <v>560.47969999999998</v>
      </c>
      <c r="H40" s="8">
        <v>0</v>
      </c>
      <c r="I40" s="8">
        <v>15</v>
      </c>
      <c r="J40" s="8">
        <f t="shared" si="0"/>
        <v>10</v>
      </c>
      <c r="K40" s="8">
        <f t="shared" si="1"/>
        <v>-5619.7969999999996</v>
      </c>
      <c r="L40" s="8">
        <f t="shared" si="2"/>
        <v>0</v>
      </c>
      <c r="M40" s="8">
        <f>SUMIFS($J$6:J39,$C$6:C39,C40,$E$6:E39,E40)</f>
        <v>100</v>
      </c>
      <c r="N40" s="8">
        <f>SUMIFS($O$6:O39,$C$6:C39,C40,$E$6:E39,E40)</f>
        <v>60015</v>
      </c>
      <c r="O40" s="8">
        <f t="shared" si="3"/>
        <v>5619.7969999999996</v>
      </c>
      <c r="P40" s="8">
        <f t="shared" si="4"/>
        <v>0</v>
      </c>
      <c r="Q40" s="8">
        <f t="shared" si="5"/>
        <v>110</v>
      </c>
      <c r="R40" s="8">
        <f t="shared" si="6"/>
        <v>65634.797000000006</v>
      </c>
      <c r="S40" s="1" t="str">
        <f>IF(OR(F40&lt;0,G40&lt;0,H40&lt;0,I40&lt;0),"Review negative input",IF(Q40&lt;-0.000001,"Review short position",IF(SUMIFS($K$7:K40,$C$7:C40,C40)&lt;-0.01,"Review negative cash",IF(COUNTIFS(History!$A$7:$A$136,B40)=0,"Review date","OK"))))</f>
        <v>OK</v>
      </c>
      <c r="T40" s="1" t="str">
        <f t="shared" si="7"/>
        <v>EVT-0034|2026-08-18|Practice|BUY|SYN_TECH|10.|560.4797|0.|15.</v>
      </c>
      <c r="U40" s="1" t="str">
        <f>IF(COUNTIFS(Transactions!$A$7:$A$1006,A40,Transactions!$J$7:$J$1006,T40)&gt;0,"Matched","Refresh required")</f>
        <v>Matched</v>
      </c>
      <c r="V40" s="8"/>
      <c r="W40" s="8"/>
      <c r="X40" s="8"/>
      <c r="Y40" s="8"/>
      <c r="Z40" s="8"/>
      <c r="AA40" s="8"/>
      <c r="AB40" s="8"/>
      <c r="AC40" s="8"/>
      <c r="AD40" s="8"/>
      <c r="AE40" s="1"/>
    </row>
    <row r="41" spans="1:31" ht="19.95" customHeight="1" x14ac:dyDescent="0.3">
      <c r="A41" s="1" t="s">
        <v>132</v>
      </c>
      <c r="B41" s="21">
        <v>46265</v>
      </c>
      <c r="C41" s="1" t="s">
        <v>1</v>
      </c>
      <c r="D41" s="1" t="s">
        <v>114</v>
      </c>
      <c r="E41" s="1" t="s">
        <v>46</v>
      </c>
      <c r="F41" s="8">
        <v>10</v>
      </c>
      <c r="G41" s="8">
        <v>555.58169999999996</v>
      </c>
      <c r="H41" s="8">
        <v>0</v>
      </c>
      <c r="I41" s="8">
        <v>25</v>
      </c>
      <c r="J41" s="8">
        <f t="shared" si="0"/>
        <v>-10</v>
      </c>
      <c r="K41" s="8">
        <f t="shared" si="1"/>
        <v>5530.8169999999991</v>
      </c>
      <c r="L41" s="8">
        <f t="shared" si="2"/>
        <v>0</v>
      </c>
      <c r="M41" s="8">
        <f>SUMIFS($J$6:J40,$C$6:C40,C41,$E$6:E40,E41)</f>
        <v>100</v>
      </c>
      <c r="N41" s="8">
        <f>SUMIFS($O$6:O40,$C$6:C40,C41,$E$6:E40,E41)</f>
        <v>54420.702000000005</v>
      </c>
      <c r="O41" s="8">
        <f t="shared" si="3"/>
        <v>-5442.0702000000001</v>
      </c>
      <c r="P41" s="8">
        <f t="shared" si="4"/>
        <v>88.746799999998984</v>
      </c>
      <c r="Q41" s="8">
        <f t="shared" si="5"/>
        <v>90</v>
      </c>
      <c r="R41" s="8">
        <f t="shared" si="6"/>
        <v>48978.631800000003</v>
      </c>
      <c r="S41" s="1" t="str">
        <f>IF(OR(F41&lt;0,G41&lt;0,H41&lt;0,I41&lt;0),"Review negative input",IF(Q41&lt;-0.000001,"Review short position",IF(SUMIFS($K$7:K41,$C$7:C41,C41)&lt;-0.01,"Review negative cash",IF(COUNTIFS(History!$A$7:$A$136,B41)=0,"Review date","OK"))))</f>
        <v>OK</v>
      </c>
      <c r="T41" s="1" t="str">
        <f t="shared" si="7"/>
        <v>EVT-0035|2026-08-31|Model|SELL|SYN_BANK|10.|555.5817|0.|25.</v>
      </c>
      <c r="U41" s="1" t="str">
        <f>IF(COUNTIFS(Transactions!$A$7:$A$1006,A41,Transactions!$J$7:$J$1006,T41)&gt;0,"Matched","Refresh required")</f>
        <v>Matched</v>
      </c>
      <c r="V41" s="8"/>
      <c r="W41" s="8"/>
      <c r="X41" s="8"/>
      <c r="Y41" s="8"/>
      <c r="Z41" s="8"/>
      <c r="AA41" s="8"/>
      <c r="AB41" s="8"/>
      <c r="AC41" s="8"/>
      <c r="AD41" s="8"/>
      <c r="AE41" s="1"/>
    </row>
    <row r="42" spans="1:31" ht="19.95" customHeight="1" x14ac:dyDescent="0.3">
      <c r="A42" s="1" t="s">
        <v>133</v>
      </c>
      <c r="B42" s="21">
        <v>46268</v>
      </c>
      <c r="C42" s="1" t="s">
        <v>100</v>
      </c>
      <c r="D42" s="1" t="s">
        <v>114</v>
      </c>
      <c r="E42" s="1" t="s">
        <v>46</v>
      </c>
      <c r="F42" s="8">
        <v>5</v>
      </c>
      <c r="G42" s="8">
        <v>569.04150000000004</v>
      </c>
      <c r="H42" s="8">
        <v>0</v>
      </c>
      <c r="I42" s="8">
        <v>15</v>
      </c>
      <c r="J42" s="8">
        <f t="shared" si="0"/>
        <v>-5</v>
      </c>
      <c r="K42" s="8">
        <f t="shared" si="1"/>
        <v>2830.2075000000004</v>
      </c>
      <c r="L42" s="8">
        <f t="shared" si="2"/>
        <v>0</v>
      </c>
      <c r="M42" s="8">
        <f>SUMIFS($J$6:J41,$C$6:C41,C42,$E$6:E41,E42)</f>
        <v>50</v>
      </c>
      <c r="N42" s="8">
        <f>SUMIFS($O$6:O41,$C$6:C41,C42,$E$6:E41,E42)</f>
        <v>27112.870999999999</v>
      </c>
      <c r="O42" s="8">
        <f t="shared" si="3"/>
        <v>-2711.2870999999996</v>
      </c>
      <c r="P42" s="8">
        <f t="shared" si="4"/>
        <v>118.92040000000088</v>
      </c>
      <c r="Q42" s="8">
        <f t="shared" si="5"/>
        <v>45</v>
      </c>
      <c r="R42" s="8">
        <f t="shared" si="6"/>
        <v>24401.583899999998</v>
      </c>
      <c r="S42" s="1" t="str">
        <f>IF(OR(F42&lt;0,G42&lt;0,H42&lt;0,I42&lt;0),"Review negative input",IF(Q42&lt;-0.000001,"Review short position",IF(SUMIFS($K$7:K42,$C$7:C42,C42)&lt;-0.01,"Review negative cash",IF(COUNTIFS(History!$A$7:$A$136,B42)=0,"Review date","OK"))))</f>
        <v>OK</v>
      </c>
      <c r="T42" s="1" t="str">
        <f t="shared" si="7"/>
        <v>EVT-0036|2026-09-03|Practice|SELL|SYN_BANK|5.|569.0415|0.|15.</v>
      </c>
      <c r="U42" s="1" t="str">
        <f>IF(COUNTIFS(Transactions!$A$7:$A$1006,A42,Transactions!$J$7:$J$1006,T42)&gt;0,"Matched","Refresh required")</f>
        <v>Matched</v>
      </c>
      <c r="V42" s="8"/>
      <c r="W42" s="8"/>
      <c r="X42" s="8"/>
      <c r="Y42" s="8"/>
      <c r="Z42" s="8"/>
      <c r="AA42" s="8"/>
      <c r="AB42" s="8"/>
      <c r="AC42" s="8"/>
      <c r="AD42" s="8"/>
      <c r="AE42" s="1"/>
    </row>
    <row r="43" spans="1:31" ht="19.95" customHeight="1" x14ac:dyDescent="0.3">
      <c r="A43" s="1"/>
      <c r="B43" s="21"/>
      <c r="C43" s="1"/>
      <c r="D43" s="1"/>
      <c r="E43" s="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"/>
    </row>
    <row r="44" spans="1:31" ht="19.95" customHeight="1" x14ac:dyDescent="0.3">
      <c r="A44" s="1"/>
      <c r="B44" s="21"/>
      <c r="C44" s="1"/>
      <c r="D44" s="1"/>
      <c r="E44" s="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"/>
    </row>
    <row r="45" spans="1:31" x14ac:dyDescent="0.3">
      <c r="B45" s="22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31" x14ac:dyDescent="0.3">
      <c r="B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spans="1:31" x14ac:dyDescent="0.3">
      <c r="B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spans="1:31" x14ac:dyDescent="0.3">
      <c r="B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2:18" x14ac:dyDescent="0.3">
      <c r="B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</row>
    <row r="50" spans="2:18" x14ac:dyDescent="0.3">
      <c r="B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 spans="2:18" x14ac:dyDescent="0.3">
      <c r="B51" s="22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</row>
    <row r="52" spans="2:18" x14ac:dyDescent="0.3">
      <c r="B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</row>
    <row r="53" spans="2:18" x14ac:dyDescent="0.3">
      <c r="B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2:18" x14ac:dyDescent="0.3">
      <c r="B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</row>
    <row r="55" spans="2:18" x14ac:dyDescent="0.3">
      <c r="B55" s="22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</row>
    <row r="56" spans="2:18" x14ac:dyDescent="0.3">
      <c r="B56" s="22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</row>
    <row r="57" spans="2:18" x14ac:dyDescent="0.3">
      <c r="B57" s="22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</row>
    <row r="58" spans="2:18" x14ac:dyDescent="0.3">
      <c r="B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</row>
    <row r="59" spans="2:18" x14ac:dyDescent="0.3">
      <c r="B59" s="22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</row>
    <row r="60" spans="2:18" x14ac:dyDescent="0.3">
      <c r="B60" s="22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</row>
    <row r="61" spans="2:18" x14ac:dyDescent="0.3">
      <c r="B61" s="22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</row>
    <row r="62" spans="2:18" x14ac:dyDescent="0.3">
      <c r="B62" s="22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</row>
    <row r="63" spans="2:18" x14ac:dyDescent="0.3">
      <c r="B63" s="22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</row>
    <row r="64" spans="2:18" x14ac:dyDescent="0.3">
      <c r="B64" s="22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</row>
    <row r="65" spans="2:18" x14ac:dyDescent="0.3">
      <c r="B65" s="22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2:18" x14ac:dyDescent="0.3">
      <c r="B66" s="22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</row>
    <row r="67" spans="2:18" x14ac:dyDescent="0.3">
      <c r="B67" s="22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</row>
    <row r="68" spans="2:18" x14ac:dyDescent="0.3">
      <c r="B68" s="22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</row>
    <row r="69" spans="2:18" x14ac:dyDescent="0.3">
      <c r="B69" s="22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</row>
    <row r="70" spans="2:18" x14ac:dyDescent="0.3">
      <c r="B70" s="2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</row>
    <row r="71" spans="2:18" x14ac:dyDescent="0.3">
      <c r="B71" s="22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</row>
    <row r="72" spans="2:18" x14ac:dyDescent="0.3">
      <c r="B72" s="22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</row>
    <row r="73" spans="2:18" x14ac:dyDescent="0.3">
      <c r="B73" s="22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</row>
    <row r="74" spans="2:18" x14ac:dyDescent="0.3">
      <c r="B74" s="22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</row>
    <row r="75" spans="2:18" x14ac:dyDescent="0.3">
      <c r="B75" s="22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</row>
    <row r="76" spans="2:18" x14ac:dyDescent="0.3">
      <c r="B76" s="22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</row>
    <row r="77" spans="2:18" x14ac:dyDescent="0.3">
      <c r="B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</row>
    <row r="78" spans="2:18" x14ac:dyDescent="0.3">
      <c r="B78" s="22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</row>
    <row r="79" spans="2:18" x14ac:dyDescent="0.3">
      <c r="B79" s="22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2:18" x14ac:dyDescent="0.3">
      <c r="B80" s="22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</row>
    <row r="81" spans="2:18" x14ac:dyDescent="0.3">
      <c r="B81" s="22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spans="2:18" x14ac:dyDescent="0.3">
      <c r="B82" s="22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spans="2:18" x14ac:dyDescent="0.3">
      <c r="B83" s="22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</row>
    <row r="84" spans="2:18" x14ac:dyDescent="0.3">
      <c r="B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</row>
    <row r="85" spans="2:18" x14ac:dyDescent="0.3">
      <c r="B85" s="22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</row>
    <row r="86" spans="2:18" x14ac:dyDescent="0.3">
      <c r="B86" s="22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</row>
    <row r="87" spans="2:18" x14ac:dyDescent="0.3">
      <c r="B87" s="22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</row>
    <row r="88" spans="2:18" x14ac:dyDescent="0.3">
      <c r="B88" s="22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</row>
    <row r="89" spans="2:18" x14ac:dyDescent="0.3">
      <c r="B89" s="22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</row>
    <row r="90" spans="2:18" x14ac:dyDescent="0.3">
      <c r="B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</row>
    <row r="91" spans="2:18" x14ac:dyDescent="0.3">
      <c r="B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</row>
    <row r="92" spans="2:18" x14ac:dyDescent="0.3">
      <c r="B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</row>
    <row r="93" spans="2:18" x14ac:dyDescent="0.3">
      <c r="B93" s="22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</row>
    <row r="94" spans="2:18" x14ac:dyDescent="0.3">
      <c r="B94" s="22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</row>
    <row r="95" spans="2:18" x14ac:dyDescent="0.3">
      <c r="B95" s="22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</row>
    <row r="96" spans="2:18" x14ac:dyDescent="0.3">
      <c r="B96" s="22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</row>
    <row r="97" spans="2:18" x14ac:dyDescent="0.3">
      <c r="B97" s="22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</row>
    <row r="98" spans="2:18" x14ac:dyDescent="0.3">
      <c r="B98" s="22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</row>
    <row r="99" spans="2:18" x14ac:dyDescent="0.3">
      <c r="B99" s="22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</row>
    <row r="100" spans="2:18" x14ac:dyDescent="0.3">
      <c r="B100" s="22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</row>
    <row r="101" spans="2:18" x14ac:dyDescent="0.3">
      <c r="B101" s="22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</row>
    <row r="102" spans="2:18" x14ac:dyDescent="0.3">
      <c r="B102" s="22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</row>
    <row r="103" spans="2:18" x14ac:dyDescent="0.3">
      <c r="B103" s="22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</row>
    <row r="104" spans="2:18" x14ac:dyDescent="0.3">
      <c r="B104" s="22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</row>
    <row r="105" spans="2:18" x14ac:dyDescent="0.3">
      <c r="B105" s="22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2:18" x14ac:dyDescent="0.3">
      <c r="B106" s="22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</row>
    <row r="107" spans="2:18" x14ac:dyDescent="0.3">
      <c r="B107" s="22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</row>
    <row r="108" spans="2:18" x14ac:dyDescent="0.3">
      <c r="B108" s="22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</row>
    <row r="109" spans="2:18" x14ac:dyDescent="0.3">
      <c r="B109" s="22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</row>
    <row r="110" spans="2:18" x14ac:dyDescent="0.3">
      <c r="B110" s="22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</row>
    <row r="111" spans="2:18" x14ac:dyDescent="0.3">
      <c r="B111" s="22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</row>
    <row r="112" spans="2:18" x14ac:dyDescent="0.3">
      <c r="B112" s="22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</row>
    <row r="113" spans="2:18" x14ac:dyDescent="0.3">
      <c r="B113" s="22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</row>
    <row r="114" spans="2:18" x14ac:dyDescent="0.3">
      <c r="B114" s="22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</row>
    <row r="115" spans="2:18" x14ac:dyDescent="0.3">
      <c r="B115" s="22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</row>
    <row r="116" spans="2:18" x14ac:dyDescent="0.3">
      <c r="B116" s="22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</row>
    <row r="117" spans="2:18" x14ac:dyDescent="0.3">
      <c r="B117" s="22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</row>
    <row r="118" spans="2:18" x14ac:dyDescent="0.3">
      <c r="B118" s="22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</row>
    <row r="119" spans="2:18" x14ac:dyDescent="0.3">
      <c r="B119" s="22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</row>
    <row r="120" spans="2:18" x14ac:dyDescent="0.3">
      <c r="B120" s="22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</row>
    <row r="121" spans="2:18" x14ac:dyDescent="0.3">
      <c r="B121" s="22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</row>
    <row r="122" spans="2:18" x14ac:dyDescent="0.3">
      <c r="B122" s="22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</row>
    <row r="123" spans="2:18" x14ac:dyDescent="0.3">
      <c r="B123" s="22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</row>
    <row r="124" spans="2:18" x14ac:dyDescent="0.3">
      <c r="B124" s="22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</row>
    <row r="125" spans="2:18" x14ac:dyDescent="0.3">
      <c r="B125" s="22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</row>
    <row r="126" spans="2:18" x14ac:dyDescent="0.3">
      <c r="B126" s="22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</row>
    <row r="127" spans="2:18" x14ac:dyDescent="0.3">
      <c r="B127" s="22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</row>
    <row r="128" spans="2:18" x14ac:dyDescent="0.3">
      <c r="B128" s="22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</row>
    <row r="129" spans="2:18" x14ac:dyDescent="0.3">
      <c r="B129" s="22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</row>
    <row r="130" spans="2:18" x14ac:dyDescent="0.3">
      <c r="B130" s="22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</row>
    <row r="131" spans="2:18" x14ac:dyDescent="0.3">
      <c r="B131" s="22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</row>
    <row r="132" spans="2:18" x14ac:dyDescent="0.3">
      <c r="B132" s="22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</row>
    <row r="133" spans="2:18" x14ac:dyDescent="0.3">
      <c r="B133" s="22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</row>
    <row r="134" spans="2:18" x14ac:dyDescent="0.3">
      <c r="B134" s="22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</row>
    <row r="135" spans="2:18" x14ac:dyDescent="0.3">
      <c r="B135" s="22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</row>
    <row r="136" spans="2:18" x14ac:dyDescent="0.3">
      <c r="B136" s="2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</row>
    <row r="137" spans="2:18" x14ac:dyDescent="0.3">
      <c r="B137" s="22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</row>
    <row r="138" spans="2:18" x14ac:dyDescent="0.3">
      <c r="B138" s="2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</row>
    <row r="139" spans="2:18" x14ac:dyDescent="0.3">
      <c r="B139" s="22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</row>
    <row r="140" spans="2:18" x14ac:dyDescent="0.3">
      <c r="B140" s="2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</row>
    <row r="141" spans="2:18" x14ac:dyDescent="0.3">
      <c r="B141" s="22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</row>
    <row r="142" spans="2:18" x14ac:dyDescent="0.3">
      <c r="B142" s="2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</row>
    <row r="143" spans="2:18" x14ac:dyDescent="0.3">
      <c r="B143" s="22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</row>
    <row r="144" spans="2:18" x14ac:dyDescent="0.3">
      <c r="B144" s="2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</row>
    <row r="145" spans="2:18" x14ac:dyDescent="0.3">
      <c r="B145" s="22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</row>
    <row r="146" spans="2:18" x14ac:dyDescent="0.3">
      <c r="B146" s="2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</row>
    <row r="147" spans="2:18" x14ac:dyDescent="0.3">
      <c r="B147" s="2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</row>
    <row r="148" spans="2:18" x14ac:dyDescent="0.3">
      <c r="B148" s="22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</row>
    <row r="149" spans="2:18" x14ac:dyDescent="0.3">
      <c r="B149" s="22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</row>
    <row r="150" spans="2:18" x14ac:dyDescent="0.3">
      <c r="B150" s="22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</row>
    <row r="151" spans="2:18" x14ac:dyDescent="0.3">
      <c r="B151" s="22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</row>
    <row r="152" spans="2:18" x14ac:dyDescent="0.3">
      <c r="B152" s="22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</row>
    <row r="153" spans="2:18" x14ac:dyDescent="0.3">
      <c r="B153" s="22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</row>
    <row r="154" spans="2:18" x14ac:dyDescent="0.3">
      <c r="B154" s="2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</row>
    <row r="155" spans="2:18" x14ac:dyDescent="0.3">
      <c r="B155" s="22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</row>
    <row r="156" spans="2:18" x14ac:dyDescent="0.3">
      <c r="B156" s="22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</row>
    <row r="157" spans="2:18" x14ac:dyDescent="0.3">
      <c r="B157" s="22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</row>
    <row r="158" spans="2:18" x14ac:dyDescent="0.3">
      <c r="B158" s="22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</row>
    <row r="159" spans="2:18" x14ac:dyDescent="0.3">
      <c r="B159" s="2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</row>
    <row r="160" spans="2:18" x14ac:dyDescent="0.3">
      <c r="B160" s="22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</row>
    <row r="161" spans="2:18" x14ac:dyDescent="0.3">
      <c r="B161" s="2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</row>
    <row r="162" spans="2:18" x14ac:dyDescent="0.3">
      <c r="B162" s="22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</row>
    <row r="163" spans="2:18" x14ac:dyDescent="0.3">
      <c r="B163" s="22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</row>
    <row r="164" spans="2:18" x14ac:dyDescent="0.3">
      <c r="B164" s="22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</row>
    <row r="165" spans="2:18" x14ac:dyDescent="0.3">
      <c r="B165" s="22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</row>
    <row r="166" spans="2:18" x14ac:dyDescent="0.3">
      <c r="B166" s="22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</row>
    <row r="167" spans="2:18" x14ac:dyDescent="0.3">
      <c r="B167" s="22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</row>
    <row r="168" spans="2:18" x14ac:dyDescent="0.3">
      <c r="B168" s="22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</row>
    <row r="169" spans="2:18" x14ac:dyDescent="0.3">
      <c r="B169" s="22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</row>
    <row r="170" spans="2:18" x14ac:dyDescent="0.3">
      <c r="B170" s="22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</row>
    <row r="171" spans="2:18" x14ac:dyDescent="0.3">
      <c r="B171" s="22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</row>
    <row r="172" spans="2:18" x14ac:dyDescent="0.3">
      <c r="B172" s="22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</row>
    <row r="173" spans="2:18" x14ac:dyDescent="0.3">
      <c r="B173" s="22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</row>
    <row r="174" spans="2:18" x14ac:dyDescent="0.3">
      <c r="B174" s="22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</row>
    <row r="175" spans="2:18" x14ac:dyDescent="0.3">
      <c r="B175" s="22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</row>
    <row r="176" spans="2:18" x14ac:dyDescent="0.3">
      <c r="B176" s="22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</row>
    <row r="177" spans="2:18" x14ac:dyDescent="0.3">
      <c r="B177" s="22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</row>
    <row r="178" spans="2:18" x14ac:dyDescent="0.3">
      <c r="B178" s="22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</row>
    <row r="179" spans="2:18" x14ac:dyDescent="0.3">
      <c r="B179" s="22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</row>
    <row r="180" spans="2:18" x14ac:dyDescent="0.3">
      <c r="B180" s="22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</row>
    <row r="181" spans="2:18" x14ac:dyDescent="0.3">
      <c r="B181" s="22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</row>
    <row r="182" spans="2:18" x14ac:dyDescent="0.3">
      <c r="B182" s="22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</row>
    <row r="183" spans="2:18" x14ac:dyDescent="0.3">
      <c r="B183" s="22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</row>
    <row r="184" spans="2:18" x14ac:dyDescent="0.3">
      <c r="B184" s="22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</row>
    <row r="185" spans="2:18" x14ac:dyDescent="0.3">
      <c r="B185" s="22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</row>
    <row r="186" spans="2:18" x14ac:dyDescent="0.3">
      <c r="B186" s="22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</row>
    <row r="187" spans="2:18" x14ac:dyDescent="0.3">
      <c r="B187" s="22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</row>
    <row r="188" spans="2:18" x14ac:dyDescent="0.3">
      <c r="B188" s="22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</row>
    <row r="189" spans="2:18" x14ac:dyDescent="0.3">
      <c r="B189" s="22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</row>
    <row r="190" spans="2:18" x14ac:dyDescent="0.3">
      <c r="B190" s="22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</row>
    <row r="191" spans="2:18" x14ac:dyDescent="0.3">
      <c r="B191" s="22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</row>
    <row r="192" spans="2:18" x14ac:dyDescent="0.3">
      <c r="B192" s="22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</row>
    <row r="193" spans="2:18" x14ac:dyDescent="0.3">
      <c r="B193" s="22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</row>
    <row r="194" spans="2:18" x14ac:dyDescent="0.3">
      <c r="B194" s="22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</row>
    <row r="195" spans="2:18" x14ac:dyDescent="0.3">
      <c r="B195" s="22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</row>
    <row r="196" spans="2:18" x14ac:dyDescent="0.3">
      <c r="B196" s="22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</row>
    <row r="197" spans="2:18" x14ac:dyDescent="0.3">
      <c r="B197" s="22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</row>
    <row r="198" spans="2:18" x14ac:dyDescent="0.3">
      <c r="B198" s="22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</row>
    <row r="199" spans="2:18" x14ac:dyDescent="0.3">
      <c r="B199" s="22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</row>
    <row r="200" spans="2:18" x14ac:dyDescent="0.3">
      <c r="B200" s="22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</row>
    <row r="201" spans="2:18" x14ac:dyDescent="0.3">
      <c r="B201" s="22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</row>
    <row r="202" spans="2:18" x14ac:dyDescent="0.3">
      <c r="B202" s="22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</row>
    <row r="203" spans="2:18" x14ac:dyDescent="0.3">
      <c r="B203" s="2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</row>
    <row r="204" spans="2:18" x14ac:dyDescent="0.3">
      <c r="B204" s="22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</row>
    <row r="205" spans="2:18" x14ac:dyDescent="0.3">
      <c r="B205" s="22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</row>
    <row r="206" spans="2:18" x14ac:dyDescent="0.3">
      <c r="B206" s="22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</row>
    <row r="207" spans="2:18" x14ac:dyDescent="0.3">
      <c r="B207" s="22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</row>
    <row r="208" spans="2:18" x14ac:dyDescent="0.3">
      <c r="B208" s="22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</row>
    <row r="209" spans="2:18" x14ac:dyDescent="0.3">
      <c r="B209" s="22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</row>
    <row r="210" spans="2:18" x14ac:dyDescent="0.3">
      <c r="B210" s="22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</row>
    <row r="211" spans="2:18" x14ac:dyDescent="0.3">
      <c r="B211" s="22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</row>
    <row r="212" spans="2:18" x14ac:dyDescent="0.3">
      <c r="B212" s="22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</row>
    <row r="213" spans="2:18" x14ac:dyDescent="0.3">
      <c r="B213" s="22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</row>
    <row r="214" spans="2:18" x14ac:dyDescent="0.3">
      <c r="B214" s="22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</row>
    <row r="215" spans="2:18" x14ac:dyDescent="0.3">
      <c r="B215" s="22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</row>
    <row r="216" spans="2:18" x14ac:dyDescent="0.3">
      <c r="B216" s="22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</row>
    <row r="217" spans="2:18" x14ac:dyDescent="0.3">
      <c r="B217" s="22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</row>
    <row r="218" spans="2:18" x14ac:dyDescent="0.3">
      <c r="B218" s="22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</row>
    <row r="219" spans="2:18" x14ac:dyDescent="0.3">
      <c r="B219" s="22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</row>
    <row r="220" spans="2:18" x14ac:dyDescent="0.3">
      <c r="B220" s="22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</row>
    <row r="221" spans="2:18" x14ac:dyDescent="0.3">
      <c r="B221" s="22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</row>
    <row r="222" spans="2:18" x14ac:dyDescent="0.3">
      <c r="B222" s="22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</row>
    <row r="223" spans="2:18" x14ac:dyDescent="0.3">
      <c r="B223" s="22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</row>
    <row r="224" spans="2:18" x14ac:dyDescent="0.3">
      <c r="B224" s="22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</row>
    <row r="225" spans="2:18" x14ac:dyDescent="0.3">
      <c r="B225" s="22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</row>
    <row r="226" spans="2:18" x14ac:dyDescent="0.3">
      <c r="B226" s="22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</row>
    <row r="227" spans="2:18" x14ac:dyDescent="0.3">
      <c r="B227" s="22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</row>
    <row r="228" spans="2:18" x14ac:dyDescent="0.3">
      <c r="B228" s="22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</row>
    <row r="229" spans="2:18" x14ac:dyDescent="0.3">
      <c r="B229" s="22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</row>
    <row r="230" spans="2:18" x14ac:dyDescent="0.3">
      <c r="B230" s="22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</row>
    <row r="231" spans="2:18" x14ac:dyDescent="0.3">
      <c r="B231" s="22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</row>
    <row r="232" spans="2:18" x14ac:dyDescent="0.3">
      <c r="B232" s="22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</row>
    <row r="233" spans="2:18" x14ac:dyDescent="0.3">
      <c r="B233" s="22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</row>
    <row r="234" spans="2:18" x14ac:dyDescent="0.3">
      <c r="B234" s="22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</row>
    <row r="235" spans="2:18" x14ac:dyDescent="0.3">
      <c r="B235" s="22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</row>
    <row r="236" spans="2:18" x14ac:dyDescent="0.3">
      <c r="B236" s="22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</row>
    <row r="237" spans="2:18" x14ac:dyDescent="0.3">
      <c r="B237" s="22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</row>
    <row r="238" spans="2:18" x14ac:dyDescent="0.3">
      <c r="B238" s="22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</row>
    <row r="239" spans="2:18" x14ac:dyDescent="0.3">
      <c r="B239" s="22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</row>
    <row r="240" spans="2:18" x14ac:dyDescent="0.3">
      <c r="B240" s="22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</row>
    <row r="241" spans="2:18" x14ac:dyDescent="0.3">
      <c r="B241" s="22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</row>
    <row r="242" spans="2:18" x14ac:dyDescent="0.3">
      <c r="B242" s="22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</row>
    <row r="243" spans="2:18" x14ac:dyDescent="0.3">
      <c r="B243" s="22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</row>
    <row r="244" spans="2:18" x14ac:dyDescent="0.3">
      <c r="B244" s="22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</row>
    <row r="245" spans="2:18" x14ac:dyDescent="0.3">
      <c r="B245" s="2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</row>
    <row r="246" spans="2:18" x14ac:dyDescent="0.3">
      <c r="B246" s="22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</row>
    <row r="247" spans="2:18" x14ac:dyDescent="0.3">
      <c r="B247" s="22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</row>
    <row r="248" spans="2:18" x14ac:dyDescent="0.3">
      <c r="B248" s="22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</row>
    <row r="249" spans="2:18" x14ac:dyDescent="0.3">
      <c r="B249" s="22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</row>
    <row r="250" spans="2:18" x14ac:dyDescent="0.3">
      <c r="B250" s="22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</row>
    <row r="251" spans="2:18" x14ac:dyDescent="0.3">
      <c r="B251" s="22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</row>
    <row r="252" spans="2:18" x14ac:dyDescent="0.3">
      <c r="B252" s="22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</row>
    <row r="253" spans="2:18" x14ac:dyDescent="0.3">
      <c r="B253" s="22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</row>
    <row r="254" spans="2:18" x14ac:dyDescent="0.3">
      <c r="B254" s="22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</row>
    <row r="255" spans="2:18" x14ac:dyDescent="0.3">
      <c r="B255" s="22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</row>
    <row r="256" spans="2:18" x14ac:dyDescent="0.3">
      <c r="B256" s="22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</row>
    <row r="257" spans="2:18" x14ac:dyDescent="0.3">
      <c r="B257" s="22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</row>
    <row r="258" spans="2:18" x14ac:dyDescent="0.3">
      <c r="B258" s="22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</row>
    <row r="259" spans="2:18" x14ac:dyDescent="0.3">
      <c r="B259" s="22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</row>
    <row r="260" spans="2:18" x14ac:dyDescent="0.3">
      <c r="B260" s="22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</row>
    <row r="261" spans="2:18" x14ac:dyDescent="0.3">
      <c r="B261" s="22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</row>
    <row r="262" spans="2:18" x14ac:dyDescent="0.3">
      <c r="B262" s="22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</row>
    <row r="263" spans="2:18" x14ac:dyDescent="0.3">
      <c r="B263" s="22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</row>
    <row r="264" spans="2:18" x14ac:dyDescent="0.3">
      <c r="B264" s="22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</row>
    <row r="265" spans="2:18" x14ac:dyDescent="0.3">
      <c r="B265" s="22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</row>
    <row r="266" spans="2:18" x14ac:dyDescent="0.3">
      <c r="B266" s="22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</row>
    <row r="267" spans="2:18" x14ac:dyDescent="0.3">
      <c r="B267" s="22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</row>
    <row r="268" spans="2:18" x14ac:dyDescent="0.3">
      <c r="B268" s="22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</row>
    <row r="269" spans="2:18" x14ac:dyDescent="0.3">
      <c r="B269" s="22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</row>
    <row r="270" spans="2:18" x14ac:dyDescent="0.3">
      <c r="B270" s="22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</row>
    <row r="271" spans="2:18" x14ac:dyDescent="0.3">
      <c r="B271" s="22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</row>
    <row r="272" spans="2:18" x14ac:dyDescent="0.3">
      <c r="B272" s="22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</row>
    <row r="273" spans="2:18" x14ac:dyDescent="0.3">
      <c r="B273" s="22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</row>
    <row r="274" spans="2:18" x14ac:dyDescent="0.3">
      <c r="B274" s="22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</row>
    <row r="275" spans="2:18" x14ac:dyDescent="0.3">
      <c r="B275" s="22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</row>
    <row r="276" spans="2:18" x14ac:dyDescent="0.3">
      <c r="B276" s="22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</row>
    <row r="277" spans="2:18" x14ac:dyDescent="0.3">
      <c r="B277" s="22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</row>
    <row r="278" spans="2:18" x14ac:dyDescent="0.3">
      <c r="B278" s="22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</row>
    <row r="279" spans="2:18" x14ac:dyDescent="0.3">
      <c r="B279" s="22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</row>
    <row r="280" spans="2:18" x14ac:dyDescent="0.3">
      <c r="B280" s="22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</row>
    <row r="281" spans="2:18" x14ac:dyDescent="0.3">
      <c r="B281" s="22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</row>
    <row r="282" spans="2:18" x14ac:dyDescent="0.3">
      <c r="B282" s="22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</row>
    <row r="283" spans="2:18" x14ac:dyDescent="0.3">
      <c r="B283" s="22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</row>
    <row r="284" spans="2:18" x14ac:dyDescent="0.3">
      <c r="B284" s="22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</row>
    <row r="285" spans="2:18" x14ac:dyDescent="0.3">
      <c r="B285" s="22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</row>
    <row r="286" spans="2:18" x14ac:dyDescent="0.3">
      <c r="B286" s="22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</row>
    <row r="287" spans="2:18" x14ac:dyDescent="0.3">
      <c r="B287" s="22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</row>
    <row r="288" spans="2:18" x14ac:dyDescent="0.3">
      <c r="B288" s="22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</row>
    <row r="289" spans="2:18" x14ac:dyDescent="0.3">
      <c r="B289" s="22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</row>
    <row r="290" spans="2:18" x14ac:dyDescent="0.3">
      <c r="B290" s="22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</row>
    <row r="291" spans="2:18" x14ac:dyDescent="0.3">
      <c r="B291" s="22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</row>
    <row r="292" spans="2:18" x14ac:dyDescent="0.3">
      <c r="B292" s="22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</row>
    <row r="293" spans="2:18" x14ac:dyDescent="0.3">
      <c r="B293" s="22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</row>
    <row r="294" spans="2:18" x14ac:dyDescent="0.3">
      <c r="B294" s="22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</row>
    <row r="295" spans="2:18" x14ac:dyDescent="0.3">
      <c r="B295" s="22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</row>
    <row r="296" spans="2:18" x14ac:dyDescent="0.3">
      <c r="B296" s="22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</row>
    <row r="297" spans="2:18" x14ac:dyDescent="0.3">
      <c r="B297" s="22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</row>
    <row r="298" spans="2:18" x14ac:dyDescent="0.3">
      <c r="B298" s="22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</row>
    <row r="299" spans="2:18" x14ac:dyDescent="0.3">
      <c r="B299" s="22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</row>
    <row r="300" spans="2:18" x14ac:dyDescent="0.3">
      <c r="B300" s="22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</row>
    <row r="301" spans="2:18" x14ac:dyDescent="0.3">
      <c r="B301" s="22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</row>
    <row r="302" spans="2:18" x14ac:dyDescent="0.3">
      <c r="B302" s="22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</row>
    <row r="303" spans="2:18" x14ac:dyDescent="0.3">
      <c r="B303" s="22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</row>
    <row r="304" spans="2:18" x14ac:dyDescent="0.3">
      <c r="B304" s="22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</row>
    <row r="305" spans="2:18" x14ac:dyDescent="0.3">
      <c r="B305" s="22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</row>
    <row r="306" spans="2:18" x14ac:dyDescent="0.3">
      <c r="B306" s="22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</row>
    <row r="307" spans="2:18" x14ac:dyDescent="0.3">
      <c r="B307" s="22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</row>
    <row r="308" spans="2:18" x14ac:dyDescent="0.3">
      <c r="B308" s="22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</row>
    <row r="309" spans="2:18" x14ac:dyDescent="0.3">
      <c r="B309" s="22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</row>
    <row r="310" spans="2:18" x14ac:dyDescent="0.3">
      <c r="B310" s="2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</row>
    <row r="311" spans="2:18" x14ac:dyDescent="0.3">
      <c r="B311" s="22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</row>
    <row r="312" spans="2:18" x14ac:dyDescent="0.3">
      <c r="B312" s="22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</row>
    <row r="313" spans="2:18" x14ac:dyDescent="0.3">
      <c r="B313" s="22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</row>
    <row r="314" spans="2:18" x14ac:dyDescent="0.3">
      <c r="B314" s="22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</row>
    <row r="315" spans="2:18" x14ac:dyDescent="0.3">
      <c r="B315" s="22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</row>
    <row r="316" spans="2:18" x14ac:dyDescent="0.3">
      <c r="B316" s="22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</row>
    <row r="317" spans="2:18" x14ac:dyDescent="0.3">
      <c r="B317" s="22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</row>
    <row r="318" spans="2:18" x14ac:dyDescent="0.3">
      <c r="B318" s="22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</row>
    <row r="319" spans="2:18" x14ac:dyDescent="0.3">
      <c r="B319" s="22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</row>
    <row r="320" spans="2:18" x14ac:dyDescent="0.3">
      <c r="B320" s="22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</row>
    <row r="321" spans="2:18" x14ac:dyDescent="0.3">
      <c r="B321" s="22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</row>
    <row r="322" spans="2:18" x14ac:dyDescent="0.3">
      <c r="B322" s="22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</row>
    <row r="323" spans="2:18" x14ac:dyDescent="0.3">
      <c r="B323" s="22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</row>
    <row r="324" spans="2:18" x14ac:dyDescent="0.3">
      <c r="B324" s="22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</row>
    <row r="325" spans="2:18" x14ac:dyDescent="0.3">
      <c r="B325" s="22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</row>
    <row r="326" spans="2:18" x14ac:dyDescent="0.3">
      <c r="B326" s="22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</row>
    <row r="327" spans="2:18" x14ac:dyDescent="0.3">
      <c r="B327" s="22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</row>
    <row r="328" spans="2:18" x14ac:dyDescent="0.3">
      <c r="B328" s="22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</row>
    <row r="329" spans="2:18" x14ac:dyDescent="0.3">
      <c r="B329" s="22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</row>
    <row r="330" spans="2:18" x14ac:dyDescent="0.3">
      <c r="B330" s="22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</row>
    <row r="331" spans="2:18" x14ac:dyDescent="0.3">
      <c r="B331" s="22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</row>
    <row r="332" spans="2:18" x14ac:dyDescent="0.3">
      <c r="B332" s="2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</row>
    <row r="333" spans="2:18" x14ac:dyDescent="0.3">
      <c r="B333" s="22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</row>
    <row r="334" spans="2:18" x14ac:dyDescent="0.3">
      <c r="B334" s="22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</row>
    <row r="335" spans="2:18" x14ac:dyDescent="0.3">
      <c r="B335" s="22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</row>
    <row r="336" spans="2:18" x14ac:dyDescent="0.3">
      <c r="B336" s="22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</row>
    <row r="337" spans="2:18" x14ac:dyDescent="0.3">
      <c r="B337" s="22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</row>
    <row r="338" spans="2:18" x14ac:dyDescent="0.3">
      <c r="B338" s="22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</row>
    <row r="339" spans="2:18" x14ac:dyDescent="0.3">
      <c r="B339" s="22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</row>
    <row r="340" spans="2:18" x14ac:dyDescent="0.3">
      <c r="B340" s="22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</row>
    <row r="341" spans="2:18" x14ac:dyDescent="0.3">
      <c r="B341" s="22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</row>
    <row r="342" spans="2:18" x14ac:dyDescent="0.3">
      <c r="B342" s="22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</row>
    <row r="343" spans="2:18" x14ac:dyDescent="0.3">
      <c r="B343" s="22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</row>
    <row r="344" spans="2:18" x14ac:dyDescent="0.3">
      <c r="B344" s="22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</row>
    <row r="345" spans="2:18" x14ac:dyDescent="0.3">
      <c r="B345" s="22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</row>
    <row r="346" spans="2:18" x14ac:dyDescent="0.3">
      <c r="B346" s="2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</row>
    <row r="347" spans="2:18" x14ac:dyDescent="0.3">
      <c r="B347" s="22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</row>
    <row r="348" spans="2:18" x14ac:dyDescent="0.3">
      <c r="B348" s="2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</row>
    <row r="349" spans="2:18" x14ac:dyDescent="0.3">
      <c r="B349" s="22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</row>
    <row r="350" spans="2:18" x14ac:dyDescent="0.3">
      <c r="B350" s="2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</row>
    <row r="351" spans="2:18" x14ac:dyDescent="0.3">
      <c r="B351" s="22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</row>
    <row r="352" spans="2:18" x14ac:dyDescent="0.3">
      <c r="B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</row>
    <row r="353" spans="2:18" x14ac:dyDescent="0.3">
      <c r="B353" s="22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</row>
    <row r="354" spans="2:18" x14ac:dyDescent="0.3">
      <c r="B354" s="22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</row>
    <row r="355" spans="2:18" x14ac:dyDescent="0.3">
      <c r="B355" s="22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</row>
    <row r="356" spans="2:18" x14ac:dyDescent="0.3">
      <c r="B356" s="2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</row>
    <row r="357" spans="2:18" x14ac:dyDescent="0.3">
      <c r="B357" s="22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</row>
    <row r="358" spans="2:18" x14ac:dyDescent="0.3">
      <c r="B358" s="22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</row>
    <row r="359" spans="2:18" x14ac:dyDescent="0.3">
      <c r="B359" s="22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</row>
    <row r="360" spans="2:18" x14ac:dyDescent="0.3">
      <c r="B360" s="22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</row>
    <row r="361" spans="2:18" x14ac:dyDescent="0.3">
      <c r="B361" s="22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</row>
    <row r="362" spans="2:18" x14ac:dyDescent="0.3">
      <c r="B362" s="2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</row>
    <row r="363" spans="2:18" x14ac:dyDescent="0.3">
      <c r="B363" s="22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</row>
    <row r="364" spans="2:18" x14ac:dyDescent="0.3">
      <c r="B364" s="2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</row>
    <row r="365" spans="2:18" x14ac:dyDescent="0.3">
      <c r="B365" s="22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</row>
    <row r="366" spans="2:18" x14ac:dyDescent="0.3">
      <c r="B366" s="22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</row>
    <row r="367" spans="2:18" x14ac:dyDescent="0.3">
      <c r="B367" s="22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</row>
    <row r="368" spans="2:18" x14ac:dyDescent="0.3">
      <c r="B368" s="22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</row>
    <row r="369" spans="2:18" x14ac:dyDescent="0.3">
      <c r="B369" s="2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</row>
    <row r="370" spans="2:18" x14ac:dyDescent="0.3">
      <c r="B370" s="22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</row>
    <row r="371" spans="2:18" x14ac:dyDescent="0.3">
      <c r="B371" s="2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</row>
    <row r="372" spans="2:18" x14ac:dyDescent="0.3">
      <c r="B372" s="22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</row>
    <row r="373" spans="2:18" x14ac:dyDescent="0.3">
      <c r="B373" s="22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</row>
    <row r="374" spans="2:18" x14ac:dyDescent="0.3">
      <c r="B374" s="22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</row>
    <row r="375" spans="2:18" x14ac:dyDescent="0.3">
      <c r="B375" s="22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</row>
    <row r="376" spans="2:18" x14ac:dyDescent="0.3">
      <c r="B376" s="22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</row>
    <row r="377" spans="2:18" x14ac:dyDescent="0.3">
      <c r="B377" s="22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</row>
    <row r="378" spans="2:18" x14ac:dyDescent="0.3">
      <c r="B378" s="22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</row>
    <row r="379" spans="2:18" x14ac:dyDescent="0.3">
      <c r="B379" s="22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</row>
    <row r="380" spans="2:18" x14ac:dyDescent="0.3">
      <c r="B380" s="22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</row>
    <row r="381" spans="2:18" x14ac:dyDescent="0.3">
      <c r="B381" s="22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</row>
    <row r="382" spans="2:18" x14ac:dyDescent="0.3">
      <c r="B382" s="22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</row>
    <row r="383" spans="2:18" x14ac:dyDescent="0.3">
      <c r="B383" s="22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</row>
    <row r="384" spans="2:18" x14ac:dyDescent="0.3">
      <c r="B384" s="22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</row>
    <row r="385" spans="2:18" x14ac:dyDescent="0.3">
      <c r="B385" s="22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</row>
    <row r="386" spans="2:18" x14ac:dyDescent="0.3">
      <c r="B386" s="22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</row>
    <row r="387" spans="2:18" x14ac:dyDescent="0.3">
      <c r="B387" s="22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</row>
    <row r="388" spans="2:18" x14ac:dyDescent="0.3">
      <c r="B388" s="22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</row>
    <row r="389" spans="2:18" x14ac:dyDescent="0.3">
      <c r="B389" s="22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</row>
    <row r="390" spans="2:18" x14ac:dyDescent="0.3">
      <c r="B390" s="22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</row>
    <row r="391" spans="2:18" x14ac:dyDescent="0.3">
      <c r="B391" s="22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</row>
    <row r="392" spans="2:18" x14ac:dyDescent="0.3">
      <c r="B392" s="22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</row>
    <row r="393" spans="2:18" x14ac:dyDescent="0.3">
      <c r="B393" s="22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</row>
    <row r="394" spans="2:18" x14ac:dyDescent="0.3">
      <c r="B394" s="22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</row>
    <row r="395" spans="2:18" x14ac:dyDescent="0.3">
      <c r="B395" s="22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</row>
    <row r="396" spans="2:18" x14ac:dyDescent="0.3">
      <c r="B396" s="22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</row>
    <row r="397" spans="2:18" x14ac:dyDescent="0.3">
      <c r="B397" s="22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</row>
    <row r="398" spans="2:18" x14ac:dyDescent="0.3">
      <c r="B398" s="22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</row>
    <row r="399" spans="2:18" x14ac:dyDescent="0.3">
      <c r="B399" s="22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</row>
    <row r="400" spans="2:18" x14ac:dyDescent="0.3">
      <c r="B400" s="2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</row>
    <row r="401" spans="2:18" x14ac:dyDescent="0.3">
      <c r="B401" s="22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</row>
    <row r="402" spans="2:18" x14ac:dyDescent="0.3">
      <c r="B402" s="22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</row>
    <row r="403" spans="2:18" x14ac:dyDescent="0.3">
      <c r="B403" s="22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</row>
    <row r="404" spans="2:18" x14ac:dyDescent="0.3">
      <c r="B404" s="22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</row>
    <row r="405" spans="2:18" x14ac:dyDescent="0.3">
      <c r="B405" s="22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</row>
    <row r="406" spans="2:18" x14ac:dyDescent="0.3">
      <c r="B406" s="22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</row>
    <row r="407" spans="2:18" x14ac:dyDescent="0.3">
      <c r="B407" s="22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</row>
    <row r="408" spans="2:18" x14ac:dyDescent="0.3">
      <c r="B408" s="22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</row>
    <row r="409" spans="2:18" x14ac:dyDescent="0.3">
      <c r="B409" s="22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</row>
    <row r="410" spans="2:18" x14ac:dyDescent="0.3">
      <c r="B410" s="22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</row>
    <row r="411" spans="2:18" x14ac:dyDescent="0.3">
      <c r="B411" s="2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</row>
    <row r="412" spans="2:18" x14ac:dyDescent="0.3">
      <c r="B412" s="22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</row>
    <row r="413" spans="2:18" x14ac:dyDescent="0.3">
      <c r="B413" s="2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</row>
    <row r="414" spans="2:18" x14ac:dyDescent="0.3">
      <c r="B414" s="22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</row>
    <row r="415" spans="2:18" x14ac:dyDescent="0.3">
      <c r="B415" s="22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</row>
    <row r="416" spans="2:18" x14ac:dyDescent="0.3">
      <c r="B416" s="22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</row>
    <row r="417" spans="2:18" x14ac:dyDescent="0.3">
      <c r="B417" s="22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</row>
    <row r="418" spans="2:18" x14ac:dyDescent="0.3">
      <c r="B418" s="22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</row>
    <row r="419" spans="2:18" x14ac:dyDescent="0.3">
      <c r="B419" s="22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</row>
    <row r="420" spans="2:18" x14ac:dyDescent="0.3">
      <c r="B420" s="22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</row>
    <row r="421" spans="2:18" x14ac:dyDescent="0.3">
      <c r="B421" s="22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</row>
    <row r="422" spans="2:18" x14ac:dyDescent="0.3">
      <c r="B422" s="22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</row>
    <row r="423" spans="2:18" x14ac:dyDescent="0.3">
      <c r="B423" s="22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</row>
    <row r="424" spans="2:18" x14ac:dyDescent="0.3">
      <c r="B424" s="22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</row>
    <row r="425" spans="2:18" x14ac:dyDescent="0.3">
      <c r="B425" s="22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</row>
    <row r="426" spans="2:18" x14ac:dyDescent="0.3">
      <c r="B426" s="22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</row>
    <row r="427" spans="2:18" x14ac:dyDescent="0.3">
      <c r="B427" s="22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</row>
    <row r="428" spans="2:18" x14ac:dyDescent="0.3">
      <c r="B428" s="22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</row>
    <row r="429" spans="2:18" x14ac:dyDescent="0.3">
      <c r="B429" s="22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</row>
    <row r="430" spans="2:18" x14ac:dyDescent="0.3">
      <c r="B430" s="2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</row>
    <row r="431" spans="2:18" x14ac:dyDescent="0.3">
      <c r="B431" s="22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</row>
    <row r="432" spans="2:18" x14ac:dyDescent="0.3">
      <c r="B432" s="2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</row>
    <row r="433" spans="2:18" x14ac:dyDescent="0.3">
      <c r="B433" s="22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</row>
    <row r="434" spans="2:18" x14ac:dyDescent="0.3">
      <c r="B434" s="2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</row>
    <row r="435" spans="2:18" x14ac:dyDescent="0.3">
      <c r="B435" s="22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</row>
    <row r="436" spans="2:18" x14ac:dyDescent="0.3">
      <c r="B436" s="2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</row>
    <row r="437" spans="2:18" x14ac:dyDescent="0.3">
      <c r="B437" s="22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</row>
    <row r="438" spans="2:18" x14ac:dyDescent="0.3">
      <c r="B438" s="2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</row>
    <row r="439" spans="2:18" x14ac:dyDescent="0.3">
      <c r="B439" s="22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</row>
    <row r="440" spans="2:18" x14ac:dyDescent="0.3">
      <c r="B440" s="2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</row>
    <row r="441" spans="2:18" x14ac:dyDescent="0.3">
      <c r="B441" s="22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</row>
    <row r="442" spans="2:18" x14ac:dyDescent="0.3">
      <c r="B442" s="22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</row>
    <row r="443" spans="2:18" x14ac:dyDescent="0.3">
      <c r="B443" s="22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</row>
    <row r="444" spans="2:18" x14ac:dyDescent="0.3">
      <c r="B444" s="22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</row>
    <row r="445" spans="2:18" x14ac:dyDescent="0.3">
      <c r="B445" s="22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</row>
    <row r="446" spans="2:18" x14ac:dyDescent="0.3">
      <c r="B446" s="2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</row>
    <row r="447" spans="2:18" x14ac:dyDescent="0.3">
      <c r="B447" s="22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</row>
    <row r="448" spans="2:18" x14ac:dyDescent="0.3">
      <c r="B448" s="22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</row>
    <row r="449" spans="2:18" x14ac:dyDescent="0.3">
      <c r="B449" s="22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</row>
    <row r="450" spans="2:18" x14ac:dyDescent="0.3">
      <c r="B450" s="22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</row>
    <row r="451" spans="2:18" x14ac:dyDescent="0.3">
      <c r="B451" s="22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</row>
    <row r="452" spans="2:18" x14ac:dyDescent="0.3">
      <c r="B452" s="22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</row>
    <row r="453" spans="2:18" x14ac:dyDescent="0.3">
      <c r="B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</row>
    <row r="454" spans="2:18" x14ac:dyDescent="0.3">
      <c r="B454" s="22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</row>
    <row r="455" spans="2:18" x14ac:dyDescent="0.3">
      <c r="B455" s="2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</row>
    <row r="456" spans="2:18" x14ac:dyDescent="0.3">
      <c r="B456" s="22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</row>
    <row r="457" spans="2:18" x14ac:dyDescent="0.3">
      <c r="B457" s="22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</row>
    <row r="458" spans="2:18" x14ac:dyDescent="0.3">
      <c r="B458" s="22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</row>
    <row r="459" spans="2:18" x14ac:dyDescent="0.3">
      <c r="B459" s="2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</row>
    <row r="460" spans="2:18" x14ac:dyDescent="0.3">
      <c r="B460" s="2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</row>
    <row r="461" spans="2:18" x14ac:dyDescent="0.3">
      <c r="B461" s="2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</row>
    <row r="462" spans="2:18" x14ac:dyDescent="0.3">
      <c r="B462" s="2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</row>
    <row r="463" spans="2:18" x14ac:dyDescent="0.3">
      <c r="B463" s="2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</row>
    <row r="464" spans="2:18" x14ac:dyDescent="0.3">
      <c r="B464" s="2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</row>
    <row r="465" spans="2:18" x14ac:dyDescent="0.3">
      <c r="B465" s="2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</row>
    <row r="466" spans="2:18" x14ac:dyDescent="0.3">
      <c r="B466" s="2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</row>
    <row r="467" spans="2:18" x14ac:dyDescent="0.3">
      <c r="B467" s="2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</row>
    <row r="468" spans="2:18" x14ac:dyDescent="0.3">
      <c r="B468" s="2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</row>
    <row r="469" spans="2:18" x14ac:dyDescent="0.3">
      <c r="B469" s="2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</row>
    <row r="470" spans="2:18" x14ac:dyDescent="0.3">
      <c r="B470" s="2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</row>
    <row r="471" spans="2:18" x14ac:dyDescent="0.3">
      <c r="B471" s="2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</row>
    <row r="472" spans="2:18" x14ac:dyDescent="0.3">
      <c r="B472" s="22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</row>
    <row r="473" spans="2:18" x14ac:dyDescent="0.3">
      <c r="B473" s="22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</row>
    <row r="474" spans="2:18" x14ac:dyDescent="0.3">
      <c r="B474" s="2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</row>
    <row r="475" spans="2:18" x14ac:dyDescent="0.3">
      <c r="B475" s="2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</row>
    <row r="476" spans="2:18" x14ac:dyDescent="0.3">
      <c r="B476" s="2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</row>
    <row r="477" spans="2:18" x14ac:dyDescent="0.3">
      <c r="B477" s="2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</row>
    <row r="478" spans="2:18" x14ac:dyDescent="0.3">
      <c r="B478" s="2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</row>
    <row r="479" spans="2:18" x14ac:dyDescent="0.3">
      <c r="B479" s="22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</row>
    <row r="480" spans="2:18" x14ac:dyDescent="0.3">
      <c r="B480" s="22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</row>
    <row r="481" spans="2:18" x14ac:dyDescent="0.3">
      <c r="B481" s="22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</row>
    <row r="482" spans="2:18" x14ac:dyDescent="0.3">
      <c r="B482" s="22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</row>
    <row r="483" spans="2:18" x14ac:dyDescent="0.3">
      <c r="B483" s="22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</row>
    <row r="484" spans="2:18" x14ac:dyDescent="0.3">
      <c r="B484" s="22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</row>
    <row r="485" spans="2:18" x14ac:dyDescent="0.3">
      <c r="B485" s="22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</row>
    <row r="486" spans="2:18" x14ac:dyDescent="0.3">
      <c r="B486" s="22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</row>
    <row r="487" spans="2:18" x14ac:dyDescent="0.3">
      <c r="B487" s="22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</row>
    <row r="488" spans="2:18" x14ac:dyDescent="0.3">
      <c r="B488" s="22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</row>
    <row r="489" spans="2:18" x14ac:dyDescent="0.3">
      <c r="B489" s="22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</row>
    <row r="490" spans="2:18" x14ac:dyDescent="0.3">
      <c r="B490" s="22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</row>
    <row r="491" spans="2:18" x14ac:dyDescent="0.3">
      <c r="B491" s="22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</row>
    <row r="492" spans="2:18" x14ac:dyDescent="0.3">
      <c r="B492" s="22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</row>
    <row r="493" spans="2:18" x14ac:dyDescent="0.3">
      <c r="B493" s="22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</row>
    <row r="494" spans="2:18" x14ac:dyDescent="0.3">
      <c r="B494" s="22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</row>
    <row r="495" spans="2:18" x14ac:dyDescent="0.3">
      <c r="B495" s="22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</row>
    <row r="496" spans="2:18" x14ac:dyDescent="0.3">
      <c r="B496" s="22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</row>
    <row r="497" spans="2:18" x14ac:dyDescent="0.3">
      <c r="B497" s="22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</row>
    <row r="498" spans="2:18" x14ac:dyDescent="0.3">
      <c r="B498" s="22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2:18" x14ac:dyDescent="0.3">
      <c r="B499" s="22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</row>
    <row r="500" spans="2:18" x14ac:dyDescent="0.3">
      <c r="B500" s="22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</row>
    <row r="501" spans="2:18" x14ac:dyDescent="0.3">
      <c r="B501" s="22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</row>
    <row r="502" spans="2:18" x14ac:dyDescent="0.3">
      <c r="B502" s="22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</row>
    <row r="503" spans="2:18" x14ac:dyDescent="0.3">
      <c r="B503" s="22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</row>
    <row r="504" spans="2:18" x14ac:dyDescent="0.3">
      <c r="B504" s="22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</row>
    <row r="505" spans="2:18" x14ac:dyDescent="0.3">
      <c r="B505" s="22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</row>
    <row r="506" spans="2:18" x14ac:dyDescent="0.3">
      <c r="B506" s="22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</row>
    <row r="507" spans="2:18" x14ac:dyDescent="0.3">
      <c r="B507" s="22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</row>
    <row r="508" spans="2:18" x14ac:dyDescent="0.3">
      <c r="B508" s="22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</row>
    <row r="509" spans="2:18" x14ac:dyDescent="0.3">
      <c r="B509" s="22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</row>
    <row r="510" spans="2:18" x14ac:dyDescent="0.3">
      <c r="B510" s="22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</row>
    <row r="511" spans="2:18" x14ac:dyDescent="0.3">
      <c r="B511" s="22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</row>
    <row r="512" spans="2:18" x14ac:dyDescent="0.3">
      <c r="B512" s="22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</row>
    <row r="513" spans="2:18" x14ac:dyDescent="0.3">
      <c r="B513" s="22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</row>
    <row r="514" spans="2:18" x14ac:dyDescent="0.3">
      <c r="B514" s="22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</row>
    <row r="515" spans="2:18" x14ac:dyDescent="0.3">
      <c r="B515" s="22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</row>
    <row r="516" spans="2:18" x14ac:dyDescent="0.3">
      <c r="B516" s="22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</row>
    <row r="517" spans="2:18" x14ac:dyDescent="0.3">
      <c r="B517" s="22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</row>
    <row r="518" spans="2:18" x14ac:dyDescent="0.3">
      <c r="B518" s="22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</row>
    <row r="519" spans="2:18" x14ac:dyDescent="0.3">
      <c r="B519" s="22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</row>
    <row r="520" spans="2:18" x14ac:dyDescent="0.3">
      <c r="B520" s="22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</row>
    <row r="521" spans="2:18" x14ac:dyDescent="0.3">
      <c r="B521" s="22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</row>
    <row r="522" spans="2:18" x14ac:dyDescent="0.3">
      <c r="B522" s="22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</row>
    <row r="523" spans="2:18" x14ac:dyDescent="0.3">
      <c r="B523" s="22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</row>
    <row r="524" spans="2:18" x14ac:dyDescent="0.3">
      <c r="B524" s="22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</row>
    <row r="525" spans="2:18" x14ac:dyDescent="0.3">
      <c r="B525" s="22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</row>
    <row r="526" spans="2:18" x14ac:dyDescent="0.3">
      <c r="B526" s="22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</row>
    <row r="527" spans="2:18" x14ac:dyDescent="0.3">
      <c r="B527" s="22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</row>
    <row r="528" spans="2:18" x14ac:dyDescent="0.3">
      <c r="B528" s="22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</row>
    <row r="529" spans="2:18" x14ac:dyDescent="0.3">
      <c r="B529" s="22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</row>
    <row r="530" spans="2:18" x14ac:dyDescent="0.3">
      <c r="B530" s="22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</row>
    <row r="531" spans="2:18" x14ac:dyDescent="0.3">
      <c r="B531" s="22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</row>
    <row r="532" spans="2:18" x14ac:dyDescent="0.3">
      <c r="B532" s="22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</row>
    <row r="533" spans="2:18" x14ac:dyDescent="0.3">
      <c r="B533" s="22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</row>
    <row r="534" spans="2:18" x14ac:dyDescent="0.3">
      <c r="B534" s="22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</row>
    <row r="535" spans="2:18" x14ac:dyDescent="0.3">
      <c r="B535" s="22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</row>
    <row r="536" spans="2:18" x14ac:dyDescent="0.3">
      <c r="B536" s="22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</row>
    <row r="537" spans="2:18" x14ac:dyDescent="0.3">
      <c r="B537" s="22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</row>
    <row r="538" spans="2:18" x14ac:dyDescent="0.3">
      <c r="B538" s="22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</row>
    <row r="539" spans="2:18" x14ac:dyDescent="0.3">
      <c r="B539" s="22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</row>
    <row r="540" spans="2:18" x14ac:dyDescent="0.3">
      <c r="B540" s="22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</row>
    <row r="541" spans="2:18" x14ac:dyDescent="0.3">
      <c r="B541" s="22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</row>
    <row r="542" spans="2:18" x14ac:dyDescent="0.3">
      <c r="B542" s="22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</row>
    <row r="543" spans="2:18" x14ac:dyDescent="0.3">
      <c r="B543" s="22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</row>
    <row r="544" spans="2:18" x14ac:dyDescent="0.3">
      <c r="B544" s="22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</row>
    <row r="545" spans="2:18" x14ac:dyDescent="0.3">
      <c r="B545" s="22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</row>
    <row r="546" spans="2:18" x14ac:dyDescent="0.3">
      <c r="B546" s="22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</row>
    <row r="547" spans="2:18" x14ac:dyDescent="0.3">
      <c r="B547" s="22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</row>
    <row r="548" spans="2:18" x14ac:dyDescent="0.3">
      <c r="B548" s="22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</row>
    <row r="549" spans="2:18" x14ac:dyDescent="0.3">
      <c r="B549" s="22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</row>
    <row r="550" spans="2:18" x14ac:dyDescent="0.3">
      <c r="B550" s="22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</row>
    <row r="551" spans="2:18" x14ac:dyDescent="0.3">
      <c r="B551" s="22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</row>
    <row r="552" spans="2:18" x14ac:dyDescent="0.3">
      <c r="B552" s="22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</row>
    <row r="553" spans="2:18" x14ac:dyDescent="0.3">
      <c r="B553" s="22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</row>
    <row r="554" spans="2:18" x14ac:dyDescent="0.3">
      <c r="B554" s="22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</row>
    <row r="555" spans="2:18" x14ac:dyDescent="0.3">
      <c r="B555" s="22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</row>
    <row r="556" spans="2:18" x14ac:dyDescent="0.3">
      <c r="B556" s="22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</row>
    <row r="557" spans="2:18" x14ac:dyDescent="0.3">
      <c r="B557" s="22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</row>
    <row r="558" spans="2:18" x14ac:dyDescent="0.3">
      <c r="B558" s="22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</row>
    <row r="559" spans="2:18" x14ac:dyDescent="0.3">
      <c r="B559" s="22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</row>
    <row r="560" spans="2:18" x14ac:dyDescent="0.3">
      <c r="B560" s="22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</row>
    <row r="561" spans="2:18" x14ac:dyDescent="0.3">
      <c r="B561" s="22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</row>
    <row r="562" spans="2:18" x14ac:dyDescent="0.3">
      <c r="B562" s="22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</row>
    <row r="563" spans="2:18" x14ac:dyDescent="0.3">
      <c r="B563" s="22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</row>
    <row r="564" spans="2:18" x14ac:dyDescent="0.3">
      <c r="B564" s="22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</row>
    <row r="565" spans="2:18" x14ac:dyDescent="0.3">
      <c r="B565" s="22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</row>
    <row r="566" spans="2:18" x14ac:dyDescent="0.3">
      <c r="B566" s="22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</row>
    <row r="567" spans="2:18" x14ac:dyDescent="0.3">
      <c r="B567" s="22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</row>
    <row r="568" spans="2:18" x14ac:dyDescent="0.3">
      <c r="B568" s="22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</row>
    <row r="569" spans="2:18" x14ac:dyDescent="0.3">
      <c r="B569" s="22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</row>
    <row r="570" spans="2:18" x14ac:dyDescent="0.3">
      <c r="B570" s="22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</row>
    <row r="571" spans="2:18" x14ac:dyDescent="0.3">
      <c r="B571" s="22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</row>
    <row r="572" spans="2:18" x14ac:dyDescent="0.3">
      <c r="B572" s="22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</row>
    <row r="573" spans="2:18" x14ac:dyDescent="0.3">
      <c r="B573" s="22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</row>
    <row r="574" spans="2:18" x14ac:dyDescent="0.3">
      <c r="B574" s="22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</row>
    <row r="575" spans="2:18" x14ac:dyDescent="0.3">
      <c r="B575" s="22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</row>
    <row r="576" spans="2:18" x14ac:dyDescent="0.3">
      <c r="B576" s="22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</row>
    <row r="577" spans="2:18" x14ac:dyDescent="0.3">
      <c r="B577" s="22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</row>
    <row r="578" spans="2:18" x14ac:dyDescent="0.3">
      <c r="B578" s="22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</row>
    <row r="579" spans="2:18" x14ac:dyDescent="0.3">
      <c r="B579" s="22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</row>
    <row r="580" spans="2:18" x14ac:dyDescent="0.3">
      <c r="B580" s="22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</row>
    <row r="581" spans="2:18" x14ac:dyDescent="0.3">
      <c r="B581" s="22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</row>
    <row r="582" spans="2:18" x14ac:dyDescent="0.3">
      <c r="B582" s="22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</row>
    <row r="583" spans="2:18" x14ac:dyDescent="0.3">
      <c r="B583" s="22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</row>
    <row r="584" spans="2:18" x14ac:dyDescent="0.3">
      <c r="B584" s="22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</row>
    <row r="585" spans="2:18" x14ac:dyDescent="0.3">
      <c r="B585" s="22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</row>
    <row r="586" spans="2:18" x14ac:dyDescent="0.3">
      <c r="B586" s="22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</row>
    <row r="587" spans="2:18" x14ac:dyDescent="0.3">
      <c r="B587" s="22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</row>
    <row r="588" spans="2:18" x14ac:dyDescent="0.3">
      <c r="B588" s="22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</row>
    <row r="589" spans="2:18" x14ac:dyDescent="0.3">
      <c r="B589" s="22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</row>
    <row r="590" spans="2:18" x14ac:dyDescent="0.3">
      <c r="B590" s="22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</row>
    <row r="591" spans="2:18" x14ac:dyDescent="0.3">
      <c r="B591" s="22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</row>
    <row r="592" spans="2:18" x14ac:dyDescent="0.3">
      <c r="B592" s="22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</row>
    <row r="593" spans="2:18" x14ac:dyDescent="0.3">
      <c r="B593" s="22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</row>
    <row r="594" spans="2:18" x14ac:dyDescent="0.3">
      <c r="B594" s="22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</row>
    <row r="595" spans="2:18" x14ac:dyDescent="0.3">
      <c r="B595" s="22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</row>
    <row r="596" spans="2:18" x14ac:dyDescent="0.3">
      <c r="B596" s="22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</row>
    <row r="597" spans="2:18" x14ac:dyDescent="0.3">
      <c r="B597" s="22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</row>
    <row r="598" spans="2:18" x14ac:dyDescent="0.3">
      <c r="B598" s="22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</row>
    <row r="599" spans="2:18" x14ac:dyDescent="0.3">
      <c r="B599" s="22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</row>
    <row r="600" spans="2:18" x14ac:dyDescent="0.3">
      <c r="B600" s="22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</row>
    <row r="601" spans="2:18" x14ac:dyDescent="0.3">
      <c r="B601" s="22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</row>
    <row r="602" spans="2:18" x14ac:dyDescent="0.3">
      <c r="B602" s="22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</row>
    <row r="603" spans="2:18" x14ac:dyDescent="0.3">
      <c r="B603" s="22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</row>
    <row r="604" spans="2:18" x14ac:dyDescent="0.3">
      <c r="B604" s="22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</row>
    <row r="605" spans="2:18" x14ac:dyDescent="0.3">
      <c r="B605" s="22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</row>
    <row r="606" spans="2:18" x14ac:dyDescent="0.3">
      <c r="B606" s="22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</row>
    <row r="607" spans="2:18" x14ac:dyDescent="0.3">
      <c r="B607" s="22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</row>
    <row r="608" spans="2:18" x14ac:dyDescent="0.3">
      <c r="B608" s="22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</row>
    <row r="609" spans="2:18" x14ac:dyDescent="0.3">
      <c r="B609" s="22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</row>
    <row r="610" spans="2:18" x14ac:dyDescent="0.3">
      <c r="B610" s="22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</row>
    <row r="611" spans="2:18" x14ac:dyDescent="0.3">
      <c r="B611" s="22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</row>
    <row r="612" spans="2:18" x14ac:dyDescent="0.3">
      <c r="B612" s="22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</row>
    <row r="613" spans="2:18" x14ac:dyDescent="0.3">
      <c r="B613" s="22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</row>
    <row r="614" spans="2:18" x14ac:dyDescent="0.3">
      <c r="B614" s="22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</row>
    <row r="615" spans="2:18" x14ac:dyDescent="0.3">
      <c r="B615" s="22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</row>
    <row r="616" spans="2:18" x14ac:dyDescent="0.3">
      <c r="B616" s="22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</row>
    <row r="617" spans="2:18" x14ac:dyDescent="0.3">
      <c r="B617" s="22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</row>
    <row r="618" spans="2:18" x14ac:dyDescent="0.3">
      <c r="B618" s="22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</row>
    <row r="619" spans="2:18" x14ac:dyDescent="0.3">
      <c r="B619" s="22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</row>
    <row r="620" spans="2:18" x14ac:dyDescent="0.3">
      <c r="B620" s="22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</row>
    <row r="621" spans="2:18" x14ac:dyDescent="0.3">
      <c r="B621" s="22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</row>
    <row r="622" spans="2:18" x14ac:dyDescent="0.3">
      <c r="B622" s="22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</row>
    <row r="623" spans="2:18" x14ac:dyDescent="0.3">
      <c r="B623" s="22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</row>
    <row r="624" spans="2:18" x14ac:dyDescent="0.3">
      <c r="B624" s="22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</row>
    <row r="625" spans="2:18" x14ac:dyDescent="0.3">
      <c r="B625" s="22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</row>
    <row r="626" spans="2:18" x14ac:dyDescent="0.3">
      <c r="B626" s="22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</row>
    <row r="627" spans="2:18" x14ac:dyDescent="0.3">
      <c r="B627" s="22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</row>
    <row r="628" spans="2:18" x14ac:dyDescent="0.3">
      <c r="B628" s="22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</row>
    <row r="629" spans="2:18" x14ac:dyDescent="0.3">
      <c r="B629" s="22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</row>
    <row r="630" spans="2:18" x14ac:dyDescent="0.3">
      <c r="B630" s="22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</row>
    <row r="631" spans="2:18" x14ac:dyDescent="0.3">
      <c r="B631" s="22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</row>
    <row r="632" spans="2:18" x14ac:dyDescent="0.3">
      <c r="B632" s="22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</row>
    <row r="633" spans="2:18" x14ac:dyDescent="0.3">
      <c r="B633" s="22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</row>
    <row r="634" spans="2:18" x14ac:dyDescent="0.3">
      <c r="B634" s="22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</row>
    <row r="635" spans="2:18" x14ac:dyDescent="0.3">
      <c r="B635" s="22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</row>
    <row r="636" spans="2:18" x14ac:dyDescent="0.3">
      <c r="B636" s="22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</row>
    <row r="637" spans="2:18" x14ac:dyDescent="0.3">
      <c r="B637" s="22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</row>
    <row r="638" spans="2:18" x14ac:dyDescent="0.3">
      <c r="B638" s="22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</row>
    <row r="639" spans="2:18" x14ac:dyDescent="0.3">
      <c r="B639" s="22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</row>
    <row r="640" spans="2:18" x14ac:dyDescent="0.3">
      <c r="B640" s="22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</row>
    <row r="641" spans="2:18" x14ac:dyDescent="0.3">
      <c r="B641" s="22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</row>
    <row r="642" spans="2:18" x14ac:dyDescent="0.3">
      <c r="B642" s="22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</row>
    <row r="643" spans="2:18" x14ac:dyDescent="0.3">
      <c r="B643" s="22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</row>
    <row r="644" spans="2:18" x14ac:dyDescent="0.3">
      <c r="B644" s="22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</row>
    <row r="645" spans="2:18" x14ac:dyDescent="0.3">
      <c r="B645" s="22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</row>
    <row r="646" spans="2:18" x14ac:dyDescent="0.3">
      <c r="B646" s="22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</row>
    <row r="647" spans="2:18" x14ac:dyDescent="0.3">
      <c r="B647" s="22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</row>
    <row r="648" spans="2:18" x14ac:dyDescent="0.3">
      <c r="B648" s="22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</row>
    <row r="649" spans="2:18" x14ac:dyDescent="0.3">
      <c r="B649" s="22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</row>
    <row r="650" spans="2:18" x14ac:dyDescent="0.3">
      <c r="B650" s="22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</row>
    <row r="651" spans="2:18" x14ac:dyDescent="0.3">
      <c r="B651" s="22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</row>
    <row r="652" spans="2:18" x14ac:dyDescent="0.3">
      <c r="B652" s="22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</row>
    <row r="653" spans="2:18" x14ac:dyDescent="0.3">
      <c r="B653" s="22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</row>
    <row r="654" spans="2:18" x14ac:dyDescent="0.3">
      <c r="B654" s="22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</row>
    <row r="655" spans="2:18" x14ac:dyDescent="0.3">
      <c r="B655" s="22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</row>
    <row r="656" spans="2:18" x14ac:dyDescent="0.3">
      <c r="B656" s="22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</row>
    <row r="657" spans="2:18" x14ac:dyDescent="0.3">
      <c r="B657" s="22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</row>
    <row r="658" spans="2:18" x14ac:dyDescent="0.3">
      <c r="B658" s="22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</row>
    <row r="659" spans="2:18" x14ac:dyDescent="0.3">
      <c r="B659" s="22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</row>
    <row r="660" spans="2:18" x14ac:dyDescent="0.3">
      <c r="B660" s="22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</row>
    <row r="661" spans="2:18" x14ac:dyDescent="0.3">
      <c r="B661" s="22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</row>
    <row r="662" spans="2:18" x14ac:dyDescent="0.3">
      <c r="B662" s="22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</row>
    <row r="663" spans="2:18" x14ac:dyDescent="0.3">
      <c r="B663" s="22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</row>
    <row r="664" spans="2:18" x14ac:dyDescent="0.3">
      <c r="B664" s="22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</row>
    <row r="665" spans="2:18" x14ac:dyDescent="0.3">
      <c r="B665" s="22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</row>
    <row r="666" spans="2:18" x14ac:dyDescent="0.3">
      <c r="B666" s="22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</row>
    <row r="667" spans="2:18" x14ac:dyDescent="0.3">
      <c r="B667" s="22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</row>
    <row r="668" spans="2:18" x14ac:dyDescent="0.3">
      <c r="B668" s="22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</row>
    <row r="669" spans="2:18" x14ac:dyDescent="0.3">
      <c r="B669" s="22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</row>
    <row r="670" spans="2:18" x14ac:dyDescent="0.3">
      <c r="B670" s="22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</row>
    <row r="671" spans="2:18" x14ac:dyDescent="0.3">
      <c r="B671" s="22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</row>
    <row r="672" spans="2:18" x14ac:dyDescent="0.3">
      <c r="B672" s="22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</row>
    <row r="673" spans="2:18" x14ac:dyDescent="0.3">
      <c r="B673" s="22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</row>
    <row r="674" spans="2:18" x14ac:dyDescent="0.3">
      <c r="B674" s="22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</row>
    <row r="675" spans="2:18" x14ac:dyDescent="0.3">
      <c r="B675" s="22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</row>
    <row r="676" spans="2:18" x14ac:dyDescent="0.3">
      <c r="B676" s="22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</row>
    <row r="677" spans="2:18" x14ac:dyDescent="0.3">
      <c r="B677" s="22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</row>
    <row r="678" spans="2:18" x14ac:dyDescent="0.3">
      <c r="B678" s="22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</row>
    <row r="679" spans="2:18" x14ac:dyDescent="0.3">
      <c r="B679" s="22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</row>
    <row r="680" spans="2:18" x14ac:dyDescent="0.3">
      <c r="B680" s="22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</row>
    <row r="681" spans="2:18" x14ac:dyDescent="0.3">
      <c r="B681" s="22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</row>
    <row r="682" spans="2:18" x14ac:dyDescent="0.3">
      <c r="B682" s="22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</row>
    <row r="683" spans="2:18" x14ac:dyDescent="0.3">
      <c r="B683" s="22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</row>
    <row r="684" spans="2:18" x14ac:dyDescent="0.3">
      <c r="B684" s="22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</row>
    <row r="685" spans="2:18" x14ac:dyDescent="0.3">
      <c r="B685" s="22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</row>
    <row r="686" spans="2:18" x14ac:dyDescent="0.3">
      <c r="B686" s="22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</row>
    <row r="687" spans="2:18" x14ac:dyDescent="0.3">
      <c r="B687" s="22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</row>
    <row r="688" spans="2:18" x14ac:dyDescent="0.3">
      <c r="B688" s="22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</row>
    <row r="689" spans="2:18" x14ac:dyDescent="0.3">
      <c r="B689" s="22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</row>
    <row r="690" spans="2:18" x14ac:dyDescent="0.3">
      <c r="B690" s="22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</row>
    <row r="691" spans="2:18" x14ac:dyDescent="0.3">
      <c r="B691" s="22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</row>
    <row r="692" spans="2:18" x14ac:dyDescent="0.3">
      <c r="B692" s="22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</row>
    <row r="693" spans="2:18" x14ac:dyDescent="0.3">
      <c r="B693" s="22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</row>
    <row r="694" spans="2:18" x14ac:dyDescent="0.3">
      <c r="B694" s="22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</row>
    <row r="695" spans="2:18" x14ac:dyDescent="0.3">
      <c r="B695" s="22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</row>
    <row r="696" spans="2:18" x14ac:dyDescent="0.3">
      <c r="B696" s="22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</row>
    <row r="697" spans="2:18" x14ac:dyDescent="0.3">
      <c r="B697" s="22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</row>
    <row r="698" spans="2:18" x14ac:dyDescent="0.3">
      <c r="B698" s="22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</row>
    <row r="699" spans="2:18" x14ac:dyDescent="0.3">
      <c r="B699" s="22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</row>
    <row r="700" spans="2:18" x14ac:dyDescent="0.3">
      <c r="B700" s="22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</row>
    <row r="701" spans="2:18" x14ac:dyDescent="0.3">
      <c r="B701" s="22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</row>
    <row r="702" spans="2:18" x14ac:dyDescent="0.3">
      <c r="B702" s="22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</row>
    <row r="703" spans="2:18" x14ac:dyDescent="0.3">
      <c r="B703" s="22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</row>
    <row r="704" spans="2:18" x14ac:dyDescent="0.3">
      <c r="B704" s="22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</row>
    <row r="705" spans="2:18" x14ac:dyDescent="0.3">
      <c r="B705" s="22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</row>
    <row r="706" spans="2:18" x14ac:dyDescent="0.3">
      <c r="B706" s="22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</row>
    <row r="707" spans="2:18" x14ac:dyDescent="0.3">
      <c r="B707" s="22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</row>
    <row r="708" spans="2:18" x14ac:dyDescent="0.3">
      <c r="B708" s="22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</row>
    <row r="709" spans="2:18" x14ac:dyDescent="0.3">
      <c r="B709" s="22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</row>
    <row r="710" spans="2:18" x14ac:dyDescent="0.3">
      <c r="B710" s="22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</row>
    <row r="711" spans="2:18" x14ac:dyDescent="0.3">
      <c r="B711" s="22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</row>
    <row r="712" spans="2:18" x14ac:dyDescent="0.3">
      <c r="B712" s="22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</row>
    <row r="713" spans="2:18" x14ac:dyDescent="0.3">
      <c r="B713" s="22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</row>
    <row r="714" spans="2:18" x14ac:dyDescent="0.3">
      <c r="B714" s="22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</row>
    <row r="715" spans="2:18" x14ac:dyDescent="0.3">
      <c r="B715" s="22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</row>
    <row r="716" spans="2:18" x14ac:dyDescent="0.3">
      <c r="B716" s="22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</row>
    <row r="717" spans="2:18" x14ac:dyDescent="0.3">
      <c r="B717" s="22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</row>
    <row r="718" spans="2:18" x14ac:dyDescent="0.3">
      <c r="B718" s="22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</row>
    <row r="719" spans="2:18" x14ac:dyDescent="0.3">
      <c r="B719" s="22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</row>
    <row r="720" spans="2:18" x14ac:dyDescent="0.3">
      <c r="B720" s="22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</row>
    <row r="721" spans="2:18" x14ac:dyDescent="0.3">
      <c r="B721" s="22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</row>
    <row r="722" spans="2:18" x14ac:dyDescent="0.3">
      <c r="B722" s="22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</row>
    <row r="723" spans="2:18" x14ac:dyDescent="0.3">
      <c r="B723" s="22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</row>
    <row r="724" spans="2:18" x14ac:dyDescent="0.3">
      <c r="B724" s="22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</row>
    <row r="725" spans="2:18" x14ac:dyDescent="0.3">
      <c r="B725" s="22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</row>
    <row r="726" spans="2:18" x14ac:dyDescent="0.3">
      <c r="B726" s="22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</row>
    <row r="727" spans="2:18" x14ac:dyDescent="0.3">
      <c r="B727" s="22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</row>
    <row r="728" spans="2:18" x14ac:dyDescent="0.3">
      <c r="B728" s="22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</row>
    <row r="729" spans="2:18" x14ac:dyDescent="0.3">
      <c r="B729" s="22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</row>
    <row r="730" spans="2:18" x14ac:dyDescent="0.3">
      <c r="B730" s="22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</row>
    <row r="731" spans="2:18" x14ac:dyDescent="0.3">
      <c r="B731" s="22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</row>
    <row r="732" spans="2:18" x14ac:dyDescent="0.3">
      <c r="B732" s="22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</row>
    <row r="733" spans="2:18" x14ac:dyDescent="0.3">
      <c r="B733" s="22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</row>
    <row r="734" spans="2:18" x14ac:dyDescent="0.3">
      <c r="B734" s="22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</row>
    <row r="735" spans="2:18" x14ac:dyDescent="0.3">
      <c r="B735" s="22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</row>
    <row r="736" spans="2:18" x14ac:dyDescent="0.3">
      <c r="B736" s="22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</row>
    <row r="737" spans="2:18" x14ac:dyDescent="0.3">
      <c r="B737" s="22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</row>
    <row r="738" spans="2:18" x14ac:dyDescent="0.3">
      <c r="B738" s="22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</row>
    <row r="739" spans="2:18" x14ac:dyDescent="0.3">
      <c r="B739" s="22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</row>
    <row r="740" spans="2:18" x14ac:dyDescent="0.3">
      <c r="B740" s="22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</row>
    <row r="741" spans="2:18" x14ac:dyDescent="0.3">
      <c r="B741" s="22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</row>
    <row r="742" spans="2:18" x14ac:dyDescent="0.3">
      <c r="B742" s="22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</row>
    <row r="743" spans="2:18" x14ac:dyDescent="0.3">
      <c r="B743" s="22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</row>
    <row r="744" spans="2:18" x14ac:dyDescent="0.3">
      <c r="B744" s="22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</row>
    <row r="745" spans="2:18" x14ac:dyDescent="0.3">
      <c r="B745" s="22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</row>
    <row r="746" spans="2:18" x14ac:dyDescent="0.3">
      <c r="B746" s="22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</row>
    <row r="747" spans="2:18" x14ac:dyDescent="0.3">
      <c r="B747" s="22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</row>
    <row r="748" spans="2:18" x14ac:dyDescent="0.3">
      <c r="B748" s="22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</row>
    <row r="749" spans="2:18" x14ac:dyDescent="0.3">
      <c r="B749" s="22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</row>
    <row r="750" spans="2:18" x14ac:dyDescent="0.3">
      <c r="B750" s="22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</row>
    <row r="751" spans="2:18" x14ac:dyDescent="0.3">
      <c r="B751" s="22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</row>
    <row r="752" spans="2:18" x14ac:dyDescent="0.3">
      <c r="B752" s="22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</row>
    <row r="753" spans="2:18" x14ac:dyDescent="0.3">
      <c r="B753" s="22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</row>
    <row r="754" spans="2:18" x14ac:dyDescent="0.3">
      <c r="B754" s="22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</row>
    <row r="755" spans="2:18" x14ac:dyDescent="0.3">
      <c r="B755" s="22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</row>
    <row r="756" spans="2:18" x14ac:dyDescent="0.3">
      <c r="B756" s="22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</row>
    <row r="757" spans="2:18" x14ac:dyDescent="0.3">
      <c r="B757" s="22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</row>
    <row r="758" spans="2:18" x14ac:dyDescent="0.3">
      <c r="B758" s="22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</row>
    <row r="759" spans="2:18" x14ac:dyDescent="0.3">
      <c r="B759" s="22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</row>
    <row r="760" spans="2:18" x14ac:dyDescent="0.3">
      <c r="B760" s="22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</row>
    <row r="761" spans="2:18" x14ac:dyDescent="0.3">
      <c r="B761" s="22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</row>
    <row r="762" spans="2:18" x14ac:dyDescent="0.3">
      <c r="B762" s="22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</row>
    <row r="763" spans="2:18" x14ac:dyDescent="0.3">
      <c r="B763" s="22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</row>
    <row r="764" spans="2:18" x14ac:dyDescent="0.3">
      <c r="B764" s="22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</row>
    <row r="765" spans="2:18" x14ac:dyDescent="0.3">
      <c r="B765" s="22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</row>
    <row r="766" spans="2:18" x14ac:dyDescent="0.3">
      <c r="B766" s="22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</row>
    <row r="767" spans="2:18" x14ac:dyDescent="0.3">
      <c r="B767" s="22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</row>
    <row r="768" spans="2:18" x14ac:dyDescent="0.3">
      <c r="B768" s="22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</row>
    <row r="769" spans="2:18" x14ac:dyDescent="0.3">
      <c r="B769" s="22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</row>
    <row r="770" spans="2:18" x14ac:dyDescent="0.3">
      <c r="B770" s="22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</row>
    <row r="771" spans="2:18" x14ac:dyDescent="0.3">
      <c r="B771" s="22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</row>
    <row r="772" spans="2:18" x14ac:dyDescent="0.3">
      <c r="B772" s="22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</row>
    <row r="773" spans="2:18" x14ac:dyDescent="0.3">
      <c r="B773" s="22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</row>
    <row r="774" spans="2:18" x14ac:dyDescent="0.3">
      <c r="B774" s="22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</row>
    <row r="775" spans="2:18" x14ac:dyDescent="0.3">
      <c r="B775" s="22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</row>
    <row r="776" spans="2:18" x14ac:dyDescent="0.3">
      <c r="B776" s="22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</row>
    <row r="777" spans="2:18" x14ac:dyDescent="0.3">
      <c r="B777" s="22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</row>
    <row r="778" spans="2:18" x14ac:dyDescent="0.3">
      <c r="B778" s="22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</row>
    <row r="779" spans="2:18" x14ac:dyDescent="0.3">
      <c r="B779" s="22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</row>
    <row r="780" spans="2:18" x14ac:dyDescent="0.3">
      <c r="B780" s="22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</row>
    <row r="781" spans="2:18" x14ac:dyDescent="0.3">
      <c r="B781" s="22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</row>
    <row r="782" spans="2:18" x14ac:dyDescent="0.3">
      <c r="B782" s="22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</row>
    <row r="783" spans="2:18" x14ac:dyDescent="0.3">
      <c r="B783" s="22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</row>
    <row r="784" spans="2:18" x14ac:dyDescent="0.3">
      <c r="B784" s="22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</row>
    <row r="785" spans="2:18" x14ac:dyDescent="0.3">
      <c r="B785" s="22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</row>
    <row r="786" spans="2:18" x14ac:dyDescent="0.3">
      <c r="B786" s="22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</row>
    <row r="787" spans="2:18" x14ac:dyDescent="0.3">
      <c r="B787" s="22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</row>
    <row r="788" spans="2:18" x14ac:dyDescent="0.3">
      <c r="B788" s="22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</row>
    <row r="789" spans="2:18" x14ac:dyDescent="0.3">
      <c r="B789" s="22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</row>
    <row r="790" spans="2:18" x14ac:dyDescent="0.3">
      <c r="B790" s="22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</row>
    <row r="791" spans="2:18" x14ac:dyDescent="0.3">
      <c r="B791" s="22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</row>
    <row r="792" spans="2:18" x14ac:dyDescent="0.3">
      <c r="B792" s="22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</row>
    <row r="793" spans="2:18" x14ac:dyDescent="0.3">
      <c r="B793" s="22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</row>
    <row r="794" spans="2:18" x14ac:dyDescent="0.3">
      <c r="B794" s="22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</row>
    <row r="795" spans="2:18" x14ac:dyDescent="0.3">
      <c r="B795" s="22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</row>
    <row r="796" spans="2:18" x14ac:dyDescent="0.3">
      <c r="B796" s="22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</row>
    <row r="797" spans="2:18" x14ac:dyDescent="0.3">
      <c r="B797" s="22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</row>
    <row r="798" spans="2:18" x14ac:dyDescent="0.3">
      <c r="B798" s="22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</row>
    <row r="799" spans="2:18" x14ac:dyDescent="0.3">
      <c r="B799" s="22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</row>
    <row r="800" spans="2:18" x14ac:dyDescent="0.3">
      <c r="B800" s="22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</row>
    <row r="801" spans="2:18" x14ac:dyDescent="0.3">
      <c r="B801" s="22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</row>
    <row r="802" spans="2:18" x14ac:dyDescent="0.3">
      <c r="B802" s="22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</row>
    <row r="803" spans="2:18" x14ac:dyDescent="0.3">
      <c r="B803" s="22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</row>
    <row r="804" spans="2:18" x14ac:dyDescent="0.3">
      <c r="B804" s="22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</row>
    <row r="805" spans="2:18" x14ac:dyDescent="0.3">
      <c r="B805" s="22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</row>
    <row r="806" spans="2:18" x14ac:dyDescent="0.3">
      <c r="B806" s="22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</row>
    <row r="807" spans="2:18" x14ac:dyDescent="0.3">
      <c r="B807" s="22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</row>
    <row r="808" spans="2:18" x14ac:dyDescent="0.3">
      <c r="B808" s="22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</row>
    <row r="809" spans="2:18" x14ac:dyDescent="0.3">
      <c r="B809" s="22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</row>
    <row r="810" spans="2:18" x14ac:dyDescent="0.3">
      <c r="B810" s="22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</row>
    <row r="811" spans="2:18" x14ac:dyDescent="0.3">
      <c r="B811" s="22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</row>
    <row r="812" spans="2:18" x14ac:dyDescent="0.3">
      <c r="B812" s="22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</row>
    <row r="813" spans="2:18" x14ac:dyDescent="0.3">
      <c r="B813" s="22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</row>
    <row r="814" spans="2:18" x14ac:dyDescent="0.3">
      <c r="B814" s="22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</row>
    <row r="815" spans="2:18" x14ac:dyDescent="0.3">
      <c r="B815" s="22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</row>
    <row r="816" spans="2:18" x14ac:dyDescent="0.3">
      <c r="B816" s="22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</row>
    <row r="817" spans="2:18" x14ac:dyDescent="0.3">
      <c r="B817" s="22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</row>
    <row r="818" spans="2:18" x14ac:dyDescent="0.3">
      <c r="B818" s="22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</row>
    <row r="819" spans="2:18" x14ac:dyDescent="0.3">
      <c r="B819" s="22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</row>
    <row r="820" spans="2:18" x14ac:dyDescent="0.3">
      <c r="B820" s="22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</row>
    <row r="821" spans="2:18" x14ac:dyDescent="0.3">
      <c r="B821" s="22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</row>
    <row r="822" spans="2:18" x14ac:dyDescent="0.3">
      <c r="B822" s="22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</row>
    <row r="823" spans="2:18" x14ac:dyDescent="0.3">
      <c r="B823" s="22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</row>
    <row r="824" spans="2:18" x14ac:dyDescent="0.3">
      <c r="B824" s="22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</row>
    <row r="825" spans="2:18" x14ac:dyDescent="0.3">
      <c r="B825" s="22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</row>
    <row r="826" spans="2:18" x14ac:dyDescent="0.3">
      <c r="B826" s="22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</row>
    <row r="827" spans="2:18" x14ac:dyDescent="0.3">
      <c r="B827" s="22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</row>
    <row r="828" spans="2:18" x14ac:dyDescent="0.3">
      <c r="B828" s="22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</row>
    <row r="829" spans="2:18" x14ac:dyDescent="0.3">
      <c r="B829" s="22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</row>
    <row r="830" spans="2:18" x14ac:dyDescent="0.3">
      <c r="B830" s="22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</row>
    <row r="831" spans="2:18" x14ac:dyDescent="0.3">
      <c r="B831" s="22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</row>
    <row r="832" spans="2:18" x14ac:dyDescent="0.3">
      <c r="B832" s="22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</row>
    <row r="833" spans="2:18" x14ac:dyDescent="0.3">
      <c r="B833" s="22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</row>
    <row r="834" spans="2:18" x14ac:dyDescent="0.3">
      <c r="B834" s="22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</row>
    <row r="835" spans="2:18" x14ac:dyDescent="0.3">
      <c r="B835" s="22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</row>
    <row r="836" spans="2:18" x14ac:dyDescent="0.3">
      <c r="B836" s="22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</row>
    <row r="837" spans="2:18" x14ac:dyDescent="0.3">
      <c r="B837" s="22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</row>
    <row r="838" spans="2:18" x14ac:dyDescent="0.3">
      <c r="B838" s="22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</row>
    <row r="839" spans="2:18" x14ac:dyDescent="0.3">
      <c r="B839" s="22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</row>
    <row r="840" spans="2:18" x14ac:dyDescent="0.3">
      <c r="B840" s="22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</row>
    <row r="841" spans="2:18" x14ac:dyDescent="0.3">
      <c r="B841" s="22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</row>
    <row r="842" spans="2:18" x14ac:dyDescent="0.3">
      <c r="B842" s="22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</row>
    <row r="843" spans="2:18" x14ac:dyDescent="0.3">
      <c r="B843" s="22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</row>
    <row r="844" spans="2:18" x14ac:dyDescent="0.3">
      <c r="B844" s="22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</row>
    <row r="845" spans="2:18" x14ac:dyDescent="0.3">
      <c r="B845" s="22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</row>
    <row r="846" spans="2:18" x14ac:dyDescent="0.3">
      <c r="B846" s="22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</row>
    <row r="847" spans="2:18" x14ac:dyDescent="0.3">
      <c r="B847" s="22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</row>
    <row r="848" spans="2:18" x14ac:dyDescent="0.3">
      <c r="B848" s="22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</row>
    <row r="849" spans="2:18" x14ac:dyDescent="0.3">
      <c r="B849" s="22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</row>
    <row r="850" spans="2:18" x14ac:dyDescent="0.3">
      <c r="B850" s="22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</row>
    <row r="851" spans="2:18" x14ac:dyDescent="0.3">
      <c r="B851" s="22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</row>
    <row r="852" spans="2:18" x14ac:dyDescent="0.3">
      <c r="B852" s="22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</row>
    <row r="853" spans="2:18" x14ac:dyDescent="0.3">
      <c r="B853" s="22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</row>
    <row r="854" spans="2:18" x14ac:dyDescent="0.3">
      <c r="B854" s="22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</row>
    <row r="855" spans="2:18" x14ac:dyDescent="0.3">
      <c r="B855" s="22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</row>
    <row r="856" spans="2:18" x14ac:dyDescent="0.3">
      <c r="B856" s="22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</row>
    <row r="857" spans="2:18" x14ac:dyDescent="0.3">
      <c r="B857" s="22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</row>
    <row r="858" spans="2:18" x14ac:dyDescent="0.3">
      <c r="B858" s="22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</row>
    <row r="859" spans="2:18" x14ac:dyDescent="0.3">
      <c r="B859" s="22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</row>
    <row r="860" spans="2:18" x14ac:dyDescent="0.3">
      <c r="B860" s="22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</row>
    <row r="861" spans="2:18" x14ac:dyDescent="0.3">
      <c r="B861" s="22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</row>
    <row r="862" spans="2:18" x14ac:dyDescent="0.3">
      <c r="B862" s="22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</row>
    <row r="863" spans="2:18" x14ac:dyDescent="0.3">
      <c r="B863" s="22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</row>
    <row r="864" spans="2:18" x14ac:dyDescent="0.3">
      <c r="B864" s="22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</row>
    <row r="865" spans="2:18" x14ac:dyDescent="0.3">
      <c r="B865" s="22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</row>
    <row r="866" spans="2:18" x14ac:dyDescent="0.3">
      <c r="B866" s="22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</row>
    <row r="867" spans="2:18" x14ac:dyDescent="0.3">
      <c r="B867" s="22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</row>
    <row r="868" spans="2:18" x14ac:dyDescent="0.3">
      <c r="B868" s="22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</row>
    <row r="869" spans="2:18" x14ac:dyDescent="0.3">
      <c r="B869" s="22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</row>
    <row r="870" spans="2:18" x14ac:dyDescent="0.3">
      <c r="B870" s="22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</row>
    <row r="871" spans="2:18" x14ac:dyDescent="0.3">
      <c r="B871" s="22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</row>
    <row r="872" spans="2:18" x14ac:dyDescent="0.3">
      <c r="B872" s="22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</row>
    <row r="873" spans="2:18" x14ac:dyDescent="0.3">
      <c r="B873" s="22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</row>
    <row r="874" spans="2:18" x14ac:dyDescent="0.3">
      <c r="B874" s="22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</row>
    <row r="875" spans="2:18" x14ac:dyDescent="0.3">
      <c r="B875" s="22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</row>
    <row r="876" spans="2:18" x14ac:dyDescent="0.3">
      <c r="B876" s="22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</row>
    <row r="877" spans="2:18" x14ac:dyDescent="0.3">
      <c r="B877" s="22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</row>
    <row r="878" spans="2:18" x14ac:dyDescent="0.3">
      <c r="B878" s="22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</row>
    <row r="879" spans="2:18" x14ac:dyDescent="0.3">
      <c r="B879" s="22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</row>
    <row r="880" spans="2:18" x14ac:dyDescent="0.3">
      <c r="B880" s="22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</row>
    <row r="881" spans="2:18" x14ac:dyDescent="0.3">
      <c r="B881" s="22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</row>
    <row r="882" spans="2:18" x14ac:dyDescent="0.3">
      <c r="B882" s="22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</row>
    <row r="883" spans="2:18" x14ac:dyDescent="0.3">
      <c r="B883" s="22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</row>
    <row r="884" spans="2:18" x14ac:dyDescent="0.3">
      <c r="B884" s="22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</row>
    <row r="885" spans="2:18" x14ac:dyDescent="0.3">
      <c r="B885" s="22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</row>
    <row r="886" spans="2:18" x14ac:dyDescent="0.3">
      <c r="B886" s="22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</row>
    <row r="887" spans="2:18" x14ac:dyDescent="0.3">
      <c r="B887" s="22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</row>
    <row r="888" spans="2:18" x14ac:dyDescent="0.3">
      <c r="B888" s="22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</row>
    <row r="889" spans="2:18" x14ac:dyDescent="0.3">
      <c r="B889" s="22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</row>
    <row r="890" spans="2:18" x14ac:dyDescent="0.3">
      <c r="B890" s="22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</row>
    <row r="891" spans="2:18" x14ac:dyDescent="0.3">
      <c r="B891" s="22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</row>
    <row r="892" spans="2:18" x14ac:dyDescent="0.3">
      <c r="B892" s="22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</row>
    <row r="893" spans="2:18" x14ac:dyDescent="0.3">
      <c r="B893" s="22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</row>
    <row r="894" spans="2:18" x14ac:dyDescent="0.3">
      <c r="B894" s="22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</row>
    <row r="895" spans="2:18" x14ac:dyDescent="0.3">
      <c r="B895" s="22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</row>
    <row r="896" spans="2:18" x14ac:dyDescent="0.3">
      <c r="B896" s="22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</row>
    <row r="897" spans="2:18" x14ac:dyDescent="0.3">
      <c r="B897" s="22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</row>
    <row r="898" spans="2:18" x14ac:dyDescent="0.3">
      <c r="B898" s="22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</row>
    <row r="899" spans="2:18" x14ac:dyDescent="0.3">
      <c r="B899" s="22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</row>
    <row r="900" spans="2:18" x14ac:dyDescent="0.3">
      <c r="B900" s="22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</row>
    <row r="901" spans="2:18" x14ac:dyDescent="0.3">
      <c r="B901" s="22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</row>
    <row r="902" spans="2:18" x14ac:dyDescent="0.3">
      <c r="B902" s="22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</row>
    <row r="903" spans="2:18" x14ac:dyDescent="0.3">
      <c r="B903" s="22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</row>
    <row r="904" spans="2:18" x14ac:dyDescent="0.3">
      <c r="B904" s="22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</row>
    <row r="905" spans="2:18" x14ac:dyDescent="0.3">
      <c r="B905" s="22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</row>
    <row r="906" spans="2:18" x14ac:dyDescent="0.3">
      <c r="B906" s="22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</row>
    <row r="907" spans="2:18" x14ac:dyDescent="0.3">
      <c r="B907" s="22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</row>
    <row r="908" spans="2:18" x14ac:dyDescent="0.3">
      <c r="B908" s="22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</row>
    <row r="909" spans="2:18" x14ac:dyDescent="0.3">
      <c r="B909" s="22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</row>
    <row r="910" spans="2:18" x14ac:dyDescent="0.3">
      <c r="B910" s="22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</row>
    <row r="911" spans="2:18" x14ac:dyDescent="0.3">
      <c r="B911" s="22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</row>
    <row r="912" spans="2:18" x14ac:dyDescent="0.3">
      <c r="B912" s="22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</row>
    <row r="913" spans="2:18" x14ac:dyDescent="0.3">
      <c r="B913" s="22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</row>
    <row r="914" spans="2:18" x14ac:dyDescent="0.3">
      <c r="B914" s="22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</row>
    <row r="915" spans="2:18" x14ac:dyDescent="0.3">
      <c r="B915" s="22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</row>
    <row r="916" spans="2:18" x14ac:dyDescent="0.3">
      <c r="B916" s="22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</row>
    <row r="917" spans="2:18" x14ac:dyDescent="0.3">
      <c r="B917" s="22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</row>
    <row r="918" spans="2:18" x14ac:dyDescent="0.3">
      <c r="B918" s="22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</row>
    <row r="919" spans="2:18" x14ac:dyDescent="0.3">
      <c r="B919" s="22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</row>
    <row r="920" spans="2:18" x14ac:dyDescent="0.3">
      <c r="B920" s="22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</row>
    <row r="921" spans="2:18" x14ac:dyDescent="0.3">
      <c r="B921" s="22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</row>
    <row r="922" spans="2:18" x14ac:dyDescent="0.3">
      <c r="B922" s="22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</row>
    <row r="923" spans="2:18" x14ac:dyDescent="0.3">
      <c r="B923" s="22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</row>
    <row r="924" spans="2:18" x14ac:dyDescent="0.3">
      <c r="B924" s="22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</row>
    <row r="925" spans="2:18" x14ac:dyDescent="0.3">
      <c r="B925" s="22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</row>
    <row r="926" spans="2:18" x14ac:dyDescent="0.3">
      <c r="B926" s="22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</row>
    <row r="927" spans="2:18" x14ac:dyDescent="0.3">
      <c r="B927" s="22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</row>
    <row r="928" spans="2:18" x14ac:dyDescent="0.3">
      <c r="B928" s="22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</row>
    <row r="929" spans="2:18" x14ac:dyDescent="0.3">
      <c r="B929" s="22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</row>
    <row r="930" spans="2:18" x14ac:dyDescent="0.3">
      <c r="B930" s="22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</row>
    <row r="931" spans="2:18" x14ac:dyDescent="0.3">
      <c r="B931" s="22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</row>
    <row r="932" spans="2:18" x14ac:dyDescent="0.3">
      <c r="B932" s="22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</row>
    <row r="933" spans="2:18" x14ac:dyDescent="0.3">
      <c r="B933" s="22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</row>
    <row r="934" spans="2:18" x14ac:dyDescent="0.3">
      <c r="B934" s="22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</row>
    <row r="935" spans="2:18" x14ac:dyDescent="0.3">
      <c r="B935" s="22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</row>
    <row r="936" spans="2:18" x14ac:dyDescent="0.3">
      <c r="B936" s="22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</row>
    <row r="937" spans="2:18" x14ac:dyDescent="0.3">
      <c r="B937" s="22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</row>
    <row r="938" spans="2:18" x14ac:dyDescent="0.3">
      <c r="B938" s="22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</row>
    <row r="939" spans="2:18" x14ac:dyDescent="0.3">
      <c r="B939" s="22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</row>
    <row r="940" spans="2:18" x14ac:dyDescent="0.3">
      <c r="B940" s="22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</row>
    <row r="941" spans="2:18" x14ac:dyDescent="0.3">
      <c r="B941" s="22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</row>
    <row r="942" spans="2:18" x14ac:dyDescent="0.3">
      <c r="B942" s="22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</row>
    <row r="943" spans="2:18" x14ac:dyDescent="0.3">
      <c r="B943" s="22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</row>
    <row r="944" spans="2:18" x14ac:dyDescent="0.3">
      <c r="B944" s="22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</row>
    <row r="945" spans="2:18" x14ac:dyDescent="0.3">
      <c r="B945" s="22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</row>
    <row r="946" spans="2:18" x14ac:dyDescent="0.3">
      <c r="B946" s="22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</row>
    <row r="947" spans="2:18" x14ac:dyDescent="0.3">
      <c r="B947" s="22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</row>
    <row r="948" spans="2:18" x14ac:dyDescent="0.3">
      <c r="B948" s="22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</row>
    <row r="949" spans="2:18" x14ac:dyDescent="0.3">
      <c r="B949" s="22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</row>
    <row r="950" spans="2:18" x14ac:dyDescent="0.3">
      <c r="B950" s="22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</row>
    <row r="951" spans="2:18" x14ac:dyDescent="0.3">
      <c r="B951" s="22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</row>
    <row r="952" spans="2:18" x14ac:dyDescent="0.3">
      <c r="B952" s="22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</row>
    <row r="953" spans="2:18" x14ac:dyDescent="0.3">
      <c r="B953" s="22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</row>
    <row r="954" spans="2:18" x14ac:dyDescent="0.3">
      <c r="B954" s="22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</row>
    <row r="955" spans="2:18" x14ac:dyDescent="0.3">
      <c r="B955" s="22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</row>
    <row r="956" spans="2:18" x14ac:dyDescent="0.3">
      <c r="B956" s="22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</row>
    <row r="957" spans="2:18" x14ac:dyDescent="0.3">
      <c r="B957" s="22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</row>
    <row r="958" spans="2:18" x14ac:dyDescent="0.3">
      <c r="B958" s="22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</row>
    <row r="959" spans="2:18" x14ac:dyDescent="0.3">
      <c r="B959" s="22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</row>
    <row r="960" spans="2:18" x14ac:dyDescent="0.3">
      <c r="B960" s="22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</row>
    <row r="961" spans="2:18" x14ac:dyDescent="0.3">
      <c r="B961" s="22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</row>
    <row r="962" spans="2:18" x14ac:dyDescent="0.3">
      <c r="B962" s="22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</row>
    <row r="963" spans="2:18" x14ac:dyDescent="0.3">
      <c r="B963" s="22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</row>
    <row r="964" spans="2:18" x14ac:dyDescent="0.3">
      <c r="B964" s="22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</row>
    <row r="965" spans="2:18" x14ac:dyDescent="0.3">
      <c r="B965" s="22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</row>
    <row r="966" spans="2:18" x14ac:dyDescent="0.3">
      <c r="B966" s="22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</row>
    <row r="967" spans="2:18" x14ac:dyDescent="0.3">
      <c r="B967" s="22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</row>
    <row r="968" spans="2:18" x14ac:dyDescent="0.3">
      <c r="B968" s="22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</row>
    <row r="969" spans="2:18" x14ac:dyDescent="0.3">
      <c r="B969" s="22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</row>
    <row r="970" spans="2:18" x14ac:dyDescent="0.3">
      <c r="B970" s="22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</row>
    <row r="971" spans="2:18" x14ac:dyDescent="0.3">
      <c r="B971" s="22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</row>
    <row r="972" spans="2:18" x14ac:dyDescent="0.3">
      <c r="B972" s="22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</row>
    <row r="973" spans="2:18" x14ac:dyDescent="0.3">
      <c r="B973" s="22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</row>
    <row r="974" spans="2:18" x14ac:dyDescent="0.3">
      <c r="B974" s="22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</row>
    <row r="975" spans="2:18" x14ac:dyDescent="0.3">
      <c r="B975" s="22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</row>
    <row r="976" spans="2:18" x14ac:dyDescent="0.3">
      <c r="B976" s="22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</row>
    <row r="977" spans="2:18" x14ac:dyDescent="0.3">
      <c r="B977" s="22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</row>
    <row r="978" spans="2:18" x14ac:dyDescent="0.3">
      <c r="B978" s="22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</row>
    <row r="979" spans="2:18" x14ac:dyDescent="0.3">
      <c r="B979" s="22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</row>
    <row r="980" spans="2:18" x14ac:dyDescent="0.3">
      <c r="B980" s="22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</row>
    <row r="981" spans="2:18" x14ac:dyDescent="0.3">
      <c r="B981" s="22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</row>
    <row r="982" spans="2:18" x14ac:dyDescent="0.3">
      <c r="B982" s="22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</row>
    <row r="983" spans="2:18" x14ac:dyDescent="0.3">
      <c r="B983" s="22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</row>
    <row r="984" spans="2:18" x14ac:dyDescent="0.3">
      <c r="B984" s="22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</row>
    <row r="985" spans="2:18" x14ac:dyDescent="0.3">
      <c r="B985" s="22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</row>
    <row r="986" spans="2:18" x14ac:dyDescent="0.3">
      <c r="B986" s="22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</row>
    <row r="987" spans="2:18" x14ac:dyDescent="0.3">
      <c r="B987" s="22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</row>
    <row r="988" spans="2:18" x14ac:dyDescent="0.3">
      <c r="B988" s="22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</row>
    <row r="989" spans="2:18" x14ac:dyDescent="0.3">
      <c r="B989" s="22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</row>
    <row r="990" spans="2:18" x14ac:dyDescent="0.3">
      <c r="B990" s="22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</row>
    <row r="991" spans="2:18" x14ac:dyDescent="0.3">
      <c r="B991" s="22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</row>
    <row r="992" spans="2:18" x14ac:dyDescent="0.3">
      <c r="B992" s="22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</row>
    <row r="993" spans="2:18" x14ac:dyDescent="0.3">
      <c r="B993" s="22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</row>
    <row r="994" spans="2:18" x14ac:dyDescent="0.3">
      <c r="B994" s="22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</row>
    <row r="995" spans="2:18" x14ac:dyDescent="0.3">
      <c r="B995" s="22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</row>
    <row r="996" spans="2:18" x14ac:dyDescent="0.3">
      <c r="B996" s="22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</row>
    <row r="997" spans="2:18" x14ac:dyDescent="0.3">
      <c r="B997" s="22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</row>
    <row r="998" spans="2:18" x14ac:dyDescent="0.3">
      <c r="B998" s="22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</row>
    <row r="999" spans="2:18" x14ac:dyDescent="0.3">
      <c r="B999" s="22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</row>
    <row r="1000" spans="2:18" x14ac:dyDescent="0.3">
      <c r="B1000" s="22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</row>
    <row r="1001" spans="2:18" x14ac:dyDescent="0.3">
      <c r="B1001" s="22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</row>
    <row r="1002" spans="2:18" x14ac:dyDescent="0.3">
      <c r="B1002" s="22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</row>
    <row r="1003" spans="2:18" x14ac:dyDescent="0.3">
      <c r="B1003" s="22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</row>
    <row r="1004" spans="2:18" x14ac:dyDescent="0.3">
      <c r="B1004" s="22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</row>
    <row r="1005" spans="2:18" x14ac:dyDescent="0.3">
      <c r="B1005" s="22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</row>
    <row r="1006" spans="2:18" x14ac:dyDescent="0.3">
      <c r="B1006" s="22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</row>
  </sheetData>
  <phoneticPr fontId="8" type="noConversion"/>
  <conditionalFormatting sqref="AE7:AE42 S43:S1006">
    <cfRule type="containsText" dxfId="51" priority="1" operator="containsText" text="Review"/>
  </conditionalFormatting>
  <pageMargins left="0.25" right="0.25" top="0.25" bottom="0.25" header="0.3" footer="0.3"/>
  <pageSetup paperSize="8" scale="71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38"/>
  <sheetViews>
    <sheetView showGridLines="0" zoomScale="90" zoomScaleNormal="9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21" width="13" customWidth="1"/>
  </cols>
  <sheetData>
    <row r="1" spans="1:2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ht="19.95" customHeight="1" x14ac:dyDescent="0.3">
      <c r="A2" s="2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19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"/>
    </row>
    <row r="4" spans="1:23" ht="19.95" customHeight="1" x14ac:dyDescent="0.3">
      <c r="A4" s="5" t="s">
        <v>135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19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3" ht="28.95" customHeight="1" x14ac:dyDescent="0.3">
      <c r="A6" s="6" t="s">
        <v>72</v>
      </c>
      <c r="B6" s="6" t="s">
        <v>136</v>
      </c>
      <c r="C6" s="6" t="s">
        <v>137</v>
      </c>
      <c r="D6" s="6" t="s">
        <v>138</v>
      </c>
      <c r="E6" s="6" t="s">
        <v>139</v>
      </c>
      <c r="F6" s="6" t="s">
        <v>140</v>
      </c>
      <c r="G6" s="6" t="s">
        <v>141</v>
      </c>
      <c r="H6" s="6" t="s">
        <v>10</v>
      </c>
      <c r="I6" s="6" t="s">
        <v>64</v>
      </c>
      <c r="J6" s="6" t="s">
        <v>142</v>
      </c>
      <c r="K6" s="6" t="s">
        <v>143</v>
      </c>
      <c r="L6" s="6" t="s">
        <v>144</v>
      </c>
      <c r="M6" s="6" t="s">
        <v>145</v>
      </c>
      <c r="N6" s="6" t="s">
        <v>146</v>
      </c>
      <c r="O6" s="6" t="s">
        <v>41</v>
      </c>
      <c r="P6" s="6" t="s">
        <v>40</v>
      </c>
      <c r="Q6" s="6" t="s">
        <v>147</v>
      </c>
      <c r="R6" s="6" t="s">
        <v>148</v>
      </c>
      <c r="S6" s="6" t="s">
        <v>149</v>
      </c>
      <c r="T6" s="6" t="s">
        <v>150</v>
      </c>
      <c r="U6" s="6" t="s">
        <v>151</v>
      </c>
      <c r="V6" s="9" t="s">
        <v>152</v>
      </c>
      <c r="W6" s="9" t="s">
        <v>153</v>
      </c>
    </row>
    <row r="7" spans="1:23" ht="19.95" customHeight="1" x14ac:dyDescent="0.3">
      <c r="A7" s="7">
        <v>46104</v>
      </c>
      <c r="B7" s="1">
        <f>SUMIFS(Ledger!$J$7:$J$1006,Ledger!$C$7:$C$1006,Portfolio!$C$5,Ledger!$E$7:$E$1006,History!B$6,Ledger!$B$7:$B$1006,"&lt;="&amp;$A7)</f>
        <v>80</v>
      </c>
      <c r="C7" s="1">
        <f>SUMIFS(Ledger!$J$7:$J$1006,Ledger!$C$7:$C$1006,Portfolio!$C$5,Ledger!$E$7:$E$1006,History!C$6,Ledger!$B$7:$B$1006,"&lt;="&amp;$A7)</f>
        <v>100</v>
      </c>
      <c r="D7" s="1">
        <f>SUMIFS(Ledger!$J$7:$J$1006,Ledger!$C$7:$C$1006,Portfolio!$C$5,Ledger!$E$7:$E$1006,History!D$6,Ledger!$B$7:$B$1006,"&lt;="&amp;$A7)</f>
        <v>70</v>
      </c>
      <c r="E7" s="1">
        <f>SUMIFS(Ledger!$J$7:$J$1006,Ledger!$C$7:$C$1006,Portfolio!$C$5,Ledger!$E$7:$E$1006,History!E$6,Ledger!$B$7:$B$1006,"&lt;="&amp;$A7)</f>
        <v>180</v>
      </c>
      <c r="F7" s="1">
        <f>SUMIFS(Ledger!$J$7:$J$1006,Ledger!$C$7:$C$1006,Portfolio!$C$5,Ledger!$E$7:$E$1006,History!F$6,Ledger!$B$7:$B$1006,"&lt;="&amp;$A7)</f>
        <v>400</v>
      </c>
      <c r="G7" s="1">
        <f>SUMIFS(Ledger!$J$7:$J$1006,Ledger!$C$7:$C$1006,Portfolio!$C$5,Ledger!$E$7:$E$1006,History!G$6,Ledger!$B$7:$B$1006,"&lt;="&amp;$A7)</f>
        <v>600</v>
      </c>
      <c r="H7" s="8">
        <f>SUMIFS(Ledger!$K$7:$K$1006,Ledger!$C$7:$C$1006,Portfolio!$C$5,Ledger!$B$7:$B$1006,"&lt;="&amp;$A7)</f>
        <v>38920</v>
      </c>
      <c r="I7" s="8">
        <f>IF(S7=6,SUMPRODUCT(B7:G7,History!B7:G7),NA())</f>
        <v>460900</v>
      </c>
      <c r="J7" s="8">
        <f t="shared" ref="J7:J38" si="0">SUM(H7:I7)</f>
        <v>499820</v>
      </c>
      <c r="K7" s="8">
        <f>SUMIFS(Ledger!$L$7:$L$1006,Ledger!$C$7:$C$1006,Portfolio!$C$5,Ledger!$B$7:$B$1006,$A7)</f>
        <v>500000</v>
      </c>
      <c r="L7" s="10">
        <f>IF(A7&lt;Holdings!$G$24,"",IF(K7&gt;0,J7/K7-1,NA()))</f>
        <v>-3.6000000000002697E-4</v>
      </c>
      <c r="M7" s="11">
        <f>IF(A7&lt;Holdings!$G$24,"",100*(1+L7))</f>
        <v>99.963999999999999</v>
      </c>
      <c r="N7" s="11">
        <f>IF(A7&lt;Holdings!$G$24,"",MAX(100,M7))</f>
        <v>100</v>
      </c>
      <c r="O7" s="10">
        <f>IF(A7&lt;Holdings!$G$24,"",M7/N7-1)</f>
        <v>-3.6000000000002697E-4</v>
      </c>
      <c r="P7" s="11">
        <f>IF(A7&lt;Holdings!$G$24,"",IF(History!H7&gt;0,History!H7/INDEX(History!$H$7:$H$136,MATCH(Holdings!$G$24,History!$A$7:$A$136,0))*100,NA()))</f>
        <v>100</v>
      </c>
      <c r="Q7" s="10" t="str">
        <f>""</f>
        <v/>
      </c>
      <c r="R7" s="8">
        <f>IF(A7&gt;Portfolio!$J$5,0,-K7+IF(A7=Portfolio!$J$5,J7,0))</f>
        <v>-500000</v>
      </c>
      <c r="S7" s="1">
        <f>COUNTIFS(History!B7:G7,"&gt;0")</f>
        <v>6</v>
      </c>
      <c r="T7" s="1" t="str">
        <f t="shared" ref="T7:T38" si="1">TEXT(A7,"dd-mmm")</f>
        <v>23-Mar</v>
      </c>
      <c r="U7" s="10">
        <f>IF(AND(A7&lt;=Portfolio!$J$5,A7&gt;=Holdings!$G$24),O7,0)</f>
        <v>-3.6000000000002697E-4</v>
      </c>
      <c r="V7" s="12" t="str">
        <f>IF(AND(A7&gt;Holdings!$G$24,A7&lt;=Portfolio!$J$5),L7,"")</f>
        <v/>
      </c>
      <c r="W7" s="12" t="str">
        <f>IF(AND(A7&gt;Holdings!$G$24,A7&lt;=Portfolio!$J$5),Q7,"")</f>
        <v/>
      </c>
    </row>
    <row r="8" spans="1:23" ht="19.95" customHeight="1" x14ac:dyDescent="0.3">
      <c r="A8" s="7">
        <v>46105</v>
      </c>
      <c r="B8" s="1">
        <f>SUMIFS(Ledger!$J$7:$J$1006,Ledger!$C$7:$C$1006,Portfolio!$C$5,Ledger!$E$7:$E$1006,History!B$6,Ledger!$B$7:$B$1006,"&lt;="&amp;$A8)</f>
        <v>80</v>
      </c>
      <c r="C8" s="1">
        <f>SUMIFS(Ledger!$J$7:$J$1006,Ledger!$C$7:$C$1006,Portfolio!$C$5,Ledger!$E$7:$E$1006,History!C$6,Ledger!$B$7:$B$1006,"&lt;="&amp;$A8)</f>
        <v>100</v>
      </c>
      <c r="D8" s="1">
        <f>SUMIFS(Ledger!$J$7:$J$1006,Ledger!$C$7:$C$1006,Portfolio!$C$5,Ledger!$E$7:$E$1006,History!D$6,Ledger!$B$7:$B$1006,"&lt;="&amp;$A8)</f>
        <v>70</v>
      </c>
      <c r="E8" s="1">
        <f>SUMIFS(Ledger!$J$7:$J$1006,Ledger!$C$7:$C$1006,Portfolio!$C$5,Ledger!$E$7:$E$1006,History!E$6,Ledger!$B$7:$B$1006,"&lt;="&amp;$A8)</f>
        <v>180</v>
      </c>
      <c r="F8" s="1">
        <f>SUMIFS(Ledger!$J$7:$J$1006,Ledger!$C$7:$C$1006,Portfolio!$C$5,Ledger!$E$7:$E$1006,History!F$6,Ledger!$B$7:$B$1006,"&lt;="&amp;$A8)</f>
        <v>400</v>
      </c>
      <c r="G8" s="1">
        <f>SUMIFS(Ledger!$J$7:$J$1006,Ledger!$C$7:$C$1006,Portfolio!$C$5,Ledger!$E$7:$E$1006,History!G$6,Ledger!$B$7:$B$1006,"&lt;="&amp;$A8)</f>
        <v>600</v>
      </c>
      <c r="H8" s="8">
        <f>SUMIFS(Ledger!$K$7:$K$1006,Ledger!$C$7:$C$1006,Portfolio!$C$5,Ledger!$B$7:$B$1006,"&lt;="&amp;$A8)</f>
        <v>38920</v>
      </c>
      <c r="I8" s="8">
        <f>IF(S8=6,SUMPRODUCT(B8:G8,History!B8:G8),NA())</f>
        <v>464944.55399999995</v>
      </c>
      <c r="J8" s="8">
        <f t="shared" si="0"/>
        <v>503864.55399999995</v>
      </c>
      <c r="K8" s="8">
        <f>SUMIFS(Ledger!$L$7:$L$1006,Ledger!$C$7:$C$1006,Portfolio!$C$5,Ledger!$B$7:$B$1006,$A8)</f>
        <v>0</v>
      </c>
      <c r="L8" s="10">
        <f>IF(A8&lt;Holdings!$G$24,"",IF(A8=Holdings!$G$24,IF(K8&gt;0,J8/K8-1,NA()),IF(J7&gt;0,(J8-K8)/J7-1,NA())))</f>
        <v>8.0920211276058751E-3</v>
      </c>
      <c r="M8" s="11">
        <f>IF(A8&lt;Holdings!$G$24,"",IF(A8=Holdings!$G$24,100*(1+L8),M7*(1+L8)))</f>
        <v>100.77291079999999</v>
      </c>
      <c r="N8" s="11">
        <f>IF(A8&lt;Holdings!$G$24,"",IF(A8=Holdings!$G$24,MAX(100,M8),MAX(N7,M8)))</f>
        <v>100.77291079999999</v>
      </c>
      <c r="O8" s="10">
        <f>IF(A8&lt;Holdings!$G$24,"",M8/N8-1)</f>
        <v>0</v>
      </c>
      <c r="P8" s="11">
        <f>IF(A8&lt;Holdings!$G$24,"",IF(History!H8&gt;0,History!H8/INDEX(History!$H$7:$H$136,MATCH(Holdings!$G$24,History!$A$7:$A$136,0))*100,NA()))</f>
        <v>100.72089929999999</v>
      </c>
      <c r="Q8" s="10">
        <f>IF(A8&lt;=Holdings!$G$24,"",P8/P7-1)</f>
        <v>7.2089929999998859E-3</v>
      </c>
      <c r="R8" s="8">
        <f>IF(A8&gt;Portfolio!$J$5,0,-K8+IF(A8=Portfolio!$J$5,J8,0))</f>
        <v>0</v>
      </c>
      <c r="S8" s="1">
        <f>COUNTIFS(History!B8:G8,"&gt;0")</f>
        <v>6</v>
      </c>
      <c r="T8" s="1" t="str">
        <f t="shared" si="1"/>
        <v>24-Mar</v>
      </c>
      <c r="U8" s="10">
        <f>IF(AND(A8&lt;=Portfolio!$J$5,A8&gt;=Holdings!$G$24),O8,0)</f>
        <v>0</v>
      </c>
      <c r="V8" s="12">
        <f>IF(AND(A8&gt;Holdings!$G$24,A8&lt;=Portfolio!$J$5),L8,"")</f>
        <v>8.0920211276058751E-3</v>
      </c>
      <c r="W8" s="12">
        <f>IF(AND(A8&gt;Holdings!$G$24,A8&lt;=Portfolio!$J$5),Q8,"")</f>
        <v>7.2089929999998859E-3</v>
      </c>
    </row>
    <row r="9" spans="1:23" ht="19.95" customHeight="1" x14ac:dyDescent="0.3">
      <c r="A9" s="7">
        <v>46106</v>
      </c>
      <c r="B9" s="1">
        <f>SUMIFS(Ledger!$J$7:$J$1006,Ledger!$C$7:$C$1006,Portfolio!$C$5,Ledger!$E$7:$E$1006,History!B$6,Ledger!$B$7:$B$1006,"&lt;="&amp;$A9)</f>
        <v>80</v>
      </c>
      <c r="C9" s="1">
        <f>SUMIFS(Ledger!$J$7:$J$1006,Ledger!$C$7:$C$1006,Portfolio!$C$5,Ledger!$E$7:$E$1006,History!C$6,Ledger!$B$7:$B$1006,"&lt;="&amp;$A9)</f>
        <v>100</v>
      </c>
      <c r="D9" s="1">
        <f>SUMIFS(Ledger!$J$7:$J$1006,Ledger!$C$7:$C$1006,Portfolio!$C$5,Ledger!$E$7:$E$1006,History!D$6,Ledger!$B$7:$B$1006,"&lt;="&amp;$A9)</f>
        <v>70</v>
      </c>
      <c r="E9" s="1">
        <f>SUMIFS(Ledger!$J$7:$J$1006,Ledger!$C$7:$C$1006,Portfolio!$C$5,Ledger!$E$7:$E$1006,History!E$6,Ledger!$B$7:$B$1006,"&lt;="&amp;$A9)</f>
        <v>180</v>
      </c>
      <c r="F9" s="1">
        <f>SUMIFS(Ledger!$J$7:$J$1006,Ledger!$C$7:$C$1006,Portfolio!$C$5,Ledger!$E$7:$E$1006,History!F$6,Ledger!$B$7:$B$1006,"&lt;="&amp;$A9)</f>
        <v>400</v>
      </c>
      <c r="G9" s="1">
        <f>SUMIFS(Ledger!$J$7:$J$1006,Ledger!$C$7:$C$1006,Portfolio!$C$5,Ledger!$E$7:$E$1006,History!G$6,Ledger!$B$7:$B$1006,"&lt;="&amp;$A9)</f>
        <v>600</v>
      </c>
      <c r="H9" s="8">
        <f>SUMIFS(Ledger!$K$7:$K$1006,Ledger!$C$7:$C$1006,Portfolio!$C$5,Ledger!$B$7:$B$1006,"&lt;="&amp;$A9)</f>
        <v>38920</v>
      </c>
      <c r="I9" s="8">
        <f>IF(S9=6,SUMPRODUCT(B9:G9,History!B9:G9),NA())</f>
        <v>463232.745</v>
      </c>
      <c r="J9" s="8">
        <f t="shared" si="0"/>
        <v>502152.745</v>
      </c>
      <c r="K9" s="8">
        <f>SUMIFS(Ledger!$L$7:$L$1006,Ledger!$C$7:$C$1006,Portfolio!$C$5,Ledger!$B$7:$B$1006,$A9)</f>
        <v>0</v>
      </c>
      <c r="L9" s="10">
        <f>IF(A9&lt;Holdings!$G$24,"",IF(A9=Holdings!$G$24,IF(K9&gt;0,J9/K9-1,NA()),IF(J8&gt;0,(J9-K9)/J8-1,NA())))</f>
        <v>-3.397359441958181E-3</v>
      </c>
      <c r="M9" s="11">
        <f>IF(A9&lt;Holdings!$G$24,"",IF(A9=Holdings!$G$24,100*(1+L9),M8*(1+L9)))</f>
        <v>100.430549</v>
      </c>
      <c r="N9" s="11">
        <f>IF(A9&lt;Holdings!$G$24,"",IF(A9=Holdings!$G$24,MAX(100,M9),MAX(N8,M9)))</f>
        <v>100.77291079999999</v>
      </c>
      <c r="O9" s="10">
        <f>IF(A9&lt;Holdings!$G$24,"",M9/N9-1)</f>
        <v>-3.397359441958181E-3</v>
      </c>
      <c r="P9" s="11">
        <f>IF(A9&lt;Holdings!$G$24,"",IF(History!H9&gt;0,History!H9/INDEX(History!$H$7:$H$136,MATCH(Holdings!$G$24,History!$A$7:$A$136,0))*100,NA()))</f>
        <v>100.8580923</v>
      </c>
      <c r="Q9" s="10">
        <f>IF(A9&lt;=Holdings!$G$24,"",P9/P8-1)</f>
        <v>1.3621105545471579E-3</v>
      </c>
      <c r="R9" s="8">
        <f>IF(A9&gt;Portfolio!$J$5,0,-K9+IF(A9=Portfolio!$J$5,J9,0))</f>
        <v>0</v>
      </c>
      <c r="S9" s="1">
        <f>COUNTIFS(History!B9:G9,"&gt;0")</f>
        <v>6</v>
      </c>
      <c r="T9" s="1" t="str">
        <f t="shared" si="1"/>
        <v>25-Mar</v>
      </c>
      <c r="U9" s="10">
        <f>IF(AND(A9&lt;=Portfolio!$J$5,A9&gt;=Holdings!$G$24),O9,0)</f>
        <v>-3.397359441958181E-3</v>
      </c>
      <c r="V9" s="12">
        <f>IF(AND(A9&gt;Holdings!$G$24,A9&lt;=Portfolio!$J$5),L9,"")</f>
        <v>-3.397359441958181E-3</v>
      </c>
      <c r="W9" s="12">
        <f>IF(AND(A9&gt;Holdings!$G$24,A9&lt;=Portfolio!$J$5),Q9,"")</f>
        <v>1.3621105545471579E-3</v>
      </c>
    </row>
    <row r="10" spans="1:23" ht="19.95" customHeight="1" x14ac:dyDescent="0.3">
      <c r="A10" s="7">
        <v>46107</v>
      </c>
      <c r="B10" s="1">
        <f>SUMIFS(Ledger!$J$7:$J$1006,Ledger!$C$7:$C$1006,Portfolio!$C$5,Ledger!$E$7:$E$1006,History!B$6,Ledger!$B$7:$B$1006,"&lt;="&amp;$A10)</f>
        <v>80</v>
      </c>
      <c r="C10" s="1">
        <f>SUMIFS(Ledger!$J$7:$J$1006,Ledger!$C$7:$C$1006,Portfolio!$C$5,Ledger!$E$7:$E$1006,History!C$6,Ledger!$B$7:$B$1006,"&lt;="&amp;$A10)</f>
        <v>100</v>
      </c>
      <c r="D10" s="1">
        <f>SUMIFS(Ledger!$J$7:$J$1006,Ledger!$C$7:$C$1006,Portfolio!$C$5,Ledger!$E$7:$E$1006,History!D$6,Ledger!$B$7:$B$1006,"&lt;="&amp;$A10)</f>
        <v>70</v>
      </c>
      <c r="E10" s="1">
        <f>SUMIFS(Ledger!$J$7:$J$1006,Ledger!$C$7:$C$1006,Portfolio!$C$5,Ledger!$E$7:$E$1006,History!E$6,Ledger!$B$7:$B$1006,"&lt;="&amp;$A10)</f>
        <v>180</v>
      </c>
      <c r="F10" s="1">
        <f>SUMIFS(Ledger!$J$7:$J$1006,Ledger!$C$7:$C$1006,Portfolio!$C$5,Ledger!$E$7:$E$1006,History!F$6,Ledger!$B$7:$B$1006,"&lt;="&amp;$A10)</f>
        <v>400</v>
      </c>
      <c r="G10" s="1">
        <f>SUMIFS(Ledger!$J$7:$J$1006,Ledger!$C$7:$C$1006,Portfolio!$C$5,Ledger!$E$7:$E$1006,History!G$6,Ledger!$B$7:$B$1006,"&lt;="&amp;$A10)</f>
        <v>600</v>
      </c>
      <c r="H10" s="8">
        <f>SUMIFS(Ledger!$K$7:$K$1006,Ledger!$C$7:$C$1006,Portfolio!$C$5,Ledger!$B$7:$B$1006,"&lt;="&amp;$A10)</f>
        <v>38920</v>
      </c>
      <c r="I10" s="8">
        <f>IF(S10=6,SUMPRODUCT(B10:G10,History!B10:G10),NA())</f>
        <v>466907.25699999998</v>
      </c>
      <c r="J10" s="8">
        <f t="shared" si="0"/>
        <v>505827.25699999998</v>
      </c>
      <c r="K10" s="8">
        <f>SUMIFS(Ledger!$L$7:$L$1006,Ledger!$C$7:$C$1006,Portfolio!$C$5,Ledger!$B$7:$B$1006,$A10)</f>
        <v>0</v>
      </c>
      <c r="L10" s="10">
        <f>IF(A10&lt;Holdings!$G$24,"",IF(A10=Holdings!$G$24,IF(K10&gt;0,J10/K10-1,NA()),IF(J9&gt;0,(J10-K10)/J9-1,NA())))</f>
        <v>7.3175184972851248E-3</v>
      </c>
      <c r="M10" s="11">
        <f>IF(A10&lt;Holdings!$G$24,"",IF(A10=Holdings!$G$24,100*(1+L10),M9*(1+L10)))</f>
        <v>101.16545139999999</v>
      </c>
      <c r="N10" s="11">
        <f>IF(A10&lt;Holdings!$G$24,"",IF(A10=Holdings!$G$24,MAX(100,M10),MAX(N9,M10)))</f>
        <v>101.16545139999999</v>
      </c>
      <c r="O10" s="10">
        <f>IF(A10&lt;Holdings!$G$24,"",M10/N10-1)</f>
        <v>0</v>
      </c>
      <c r="P10" s="11">
        <f>IF(A10&lt;Holdings!$G$24,"",IF(History!H10&gt;0,History!H10/INDEX(History!$H$7:$H$136,MATCH(Holdings!$G$24,History!$A$7:$A$136,0))*100,NA()))</f>
        <v>101.6311462</v>
      </c>
      <c r="Q10" s="10">
        <f>IF(A10&lt;=Holdings!$G$24,"",P10/P9-1)</f>
        <v>7.6647682141417484E-3</v>
      </c>
      <c r="R10" s="8">
        <f>IF(A10&gt;Portfolio!$J$5,0,-K10+IF(A10=Portfolio!$J$5,J10,0))</f>
        <v>0</v>
      </c>
      <c r="S10" s="1">
        <f>COUNTIFS(History!B10:G10,"&gt;0")</f>
        <v>6</v>
      </c>
      <c r="T10" s="1" t="str">
        <f t="shared" si="1"/>
        <v>26-Mar</v>
      </c>
      <c r="U10" s="10">
        <f>IF(AND(A10&lt;=Portfolio!$J$5,A10&gt;=Holdings!$G$24),O10,0)</f>
        <v>0</v>
      </c>
      <c r="V10" s="12">
        <f>IF(AND(A10&gt;Holdings!$G$24,A10&lt;=Portfolio!$J$5),L10,"")</f>
        <v>7.3175184972851248E-3</v>
      </c>
      <c r="W10" s="12">
        <f>IF(AND(A10&gt;Holdings!$G$24,A10&lt;=Portfolio!$J$5),Q10,"")</f>
        <v>7.6647682141417484E-3</v>
      </c>
    </row>
    <row r="11" spans="1:23" ht="19.95" customHeight="1" x14ac:dyDescent="0.3">
      <c r="A11" s="7">
        <v>46108</v>
      </c>
      <c r="B11" s="1">
        <f>SUMIFS(Ledger!$J$7:$J$1006,Ledger!$C$7:$C$1006,Portfolio!$C$5,Ledger!$E$7:$E$1006,History!B$6,Ledger!$B$7:$B$1006,"&lt;="&amp;$A11)</f>
        <v>80</v>
      </c>
      <c r="C11" s="1">
        <f>SUMIFS(Ledger!$J$7:$J$1006,Ledger!$C$7:$C$1006,Portfolio!$C$5,Ledger!$E$7:$E$1006,History!C$6,Ledger!$B$7:$B$1006,"&lt;="&amp;$A11)</f>
        <v>100</v>
      </c>
      <c r="D11" s="1">
        <f>SUMIFS(Ledger!$J$7:$J$1006,Ledger!$C$7:$C$1006,Portfolio!$C$5,Ledger!$E$7:$E$1006,History!D$6,Ledger!$B$7:$B$1006,"&lt;="&amp;$A11)</f>
        <v>70</v>
      </c>
      <c r="E11" s="1">
        <f>SUMIFS(Ledger!$J$7:$J$1006,Ledger!$C$7:$C$1006,Portfolio!$C$5,Ledger!$E$7:$E$1006,History!E$6,Ledger!$B$7:$B$1006,"&lt;="&amp;$A11)</f>
        <v>180</v>
      </c>
      <c r="F11" s="1">
        <f>SUMIFS(Ledger!$J$7:$J$1006,Ledger!$C$7:$C$1006,Portfolio!$C$5,Ledger!$E$7:$E$1006,History!F$6,Ledger!$B$7:$B$1006,"&lt;="&amp;$A11)</f>
        <v>400</v>
      </c>
      <c r="G11" s="1">
        <f>SUMIFS(Ledger!$J$7:$J$1006,Ledger!$C$7:$C$1006,Portfolio!$C$5,Ledger!$E$7:$E$1006,History!G$6,Ledger!$B$7:$B$1006,"&lt;="&amp;$A11)</f>
        <v>600</v>
      </c>
      <c r="H11" s="8">
        <f>SUMIFS(Ledger!$K$7:$K$1006,Ledger!$C$7:$C$1006,Portfolio!$C$5,Ledger!$B$7:$B$1006,"&lt;="&amp;$A11)</f>
        <v>38920</v>
      </c>
      <c r="I11" s="8">
        <f>IF(S11=6,SUMPRODUCT(B11:G11,History!B11:G11),NA())</f>
        <v>467294.75199999998</v>
      </c>
      <c r="J11" s="8">
        <f t="shared" si="0"/>
        <v>506214.75199999998</v>
      </c>
      <c r="K11" s="8">
        <f>SUMIFS(Ledger!$L$7:$L$1006,Ledger!$C$7:$C$1006,Portfolio!$C$5,Ledger!$B$7:$B$1006,$A11)</f>
        <v>0</v>
      </c>
      <c r="L11" s="10">
        <f>IF(A11&lt;Holdings!$G$24,"",IF(A11=Holdings!$G$24,IF(K11&gt;0,J11/K11-1,NA()),IF(J10&gt;0,(J11-K11)/J10-1,NA())))</f>
        <v>7.6606192062134149E-4</v>
      </c>
      <c r="M11" s="11">
        <f>IF(A11&lt;Holdings!$G$24,"",IF(A11=Holdings!$G$24,100*(1+L11),M10*(1+L11)))</f>
        <v>101.2429504</v>
      </c>
      <c r="N11" s="11">
        <f>IF(A11&lt;Holdings!$G$24,"",IF(A11=Holdings!$G$24,MAX(100,M11),MAX(N10,M11)))</f>
        <v>101.2429504</v>
      </c>
      <c r="O11" s="10">
        <f>IF(A11&lt;Holdings!$G$24,"",M11/N11-1)</f>
        <v>0</v>
      </c>
      <c r="P11" s="11">
        <f>IF(A11&lt;Holdings!$G$24,"",IF(History!H11&gt;0,History!H11/INDEX(History!$H$7:$H$136,MATCH(Holdings!$G$24,History!$A$7:$A$136,0))*100,NA()))</f>
        <v>101.39547570000001</v>
      </c>
      <c r="Q11" s="10">
        <f>IF(A11&lt;=Holdings!$G$24,"",P11/P10-1)</f>
        <v>-2.3188806661318395E-3</v>
      </c>
      <c r="R11" s="8">
        <f>IF(A11&gt;Portfolio!$J$5,0,-K11+IF(A11=Portfolio!$J$5,J11,0))</f>
        <v>0</v>
      </c>
      <c r="S11" s="1">
        <f>COUNTIFS(History!B11:G11,"&gt;0")</f>
        <v>6</v>
      </c>
      <c r="T11" s="1" t="str">
        <f t="shared" si="1"/>
        <v>27-Mar</v>
      </c>
      <c r="U11" s="10">
        <f>IF(AND(A11&lt;=Portfolio!$J$5,A11&gt;=Holdings!$G$24),O11,0)</f>
        <v>0</v>
      </c>
      <c r="V11" s="12">
        <f>IF(AND(A11&gt;Holdings!$G$24,A11&lt;=Portfolio!$J$5),L11,"")</f>
        <v>7.6606192062134149E-4</v>
      </c>
      <c r="W11" s="12">
        <f>IF(AND(A11&gt;Holdings!$G$24,A11&lt;=Portfolio!$J$5),Q11,"")</f>
        <v>-2.3188806661318395E-3</v>
      </c>
    </row>
    <row r="12" spans="1:23" ht="19.95" customHeight="1" x14ac:dyDescent="0.3">
      <c r="A12" s="7">
        <v>46111</v>
      </c>
      <c r="B12" s="1">
        <f>SUMIFS(Ledger!$J$7:$J$1006,Ledger!$C$7:$C$1006,Portfolio!$C$5,Ledger!$E$7:$E$1006,History!B$6,Ledger!$B$7:$B$1006,"&lt;="&amp;$A12)</f>
        <v>80</v>
      </c>
      <c r="C12" s="1">
        <f>SUMIFS(Ledger!$J$7:$J$1006,Ledger!$C$7:$C$1006,Portfolio!$C$5,Ledger!$E$7:$E$1006,History!C$6,Ledger!$B$7:$B$1006,"&lt;="&amp;$A12)</f>
        <v>100</v>
      </c>
      <c r="D12" s="1">
        <f>SUMIFS(Ledger!$J$7:$J$1006,Ledger!$C$7:$C$1006,Portfolio!$C$5,Ledger!$E$7:$E$1006,History!D$6,Ledger!$B$7:$B$1006,"&lt;="&amp;$A12)</f>
        <v>70</v>
      </c>
      <c r="E12" s="1">
        <f>SUMIFS(Ledger!$J$7:$J$1006,Ledger!$C$7:$C$1006,Portfolio!$C$5,Ledger!$E$7:$E$1006,History!E$6,Ledger!$B$7:$B$1006,"&lt;="&amp;$A12)</f>
        <v>180</v>
      </c>
      <c r="F12" s="1">
        <f>SUMIFS(Ledger!$J$7:$J$1006,Ledger!$C$7:$C$1006,Portfolio!$C$5,Ledger!$E$7:$E$1006,History!F$6,Ledger!$B$7:$B$1006,"&lt;="&amp;$A12)</f>
        <v>400</v>
      </c>
      <c r="G12" s="1">
        <f>SUMIFS(Ledger!$J$7:$J$1006,Ledger!$C$7:$C$1006,Portfolio!$C$5,Ledger!$E$7:$E$1006,History!G$6,Ledger!$B$7:$B$1006,"&lt;="&amp;$A12)</f>
        <v>600</v>
      </c>
      <c r="H12" s="8">
        <f>SUMIFS(Ledger!$K$7:$K$1006,Ledger!$C$7:$C$1006,Portfolio!$C$5,Ledger!$B$7:$B$1006,"&lt;="&amp;$A12)</f>
        <v>38920</v>
      </c>
      <c r="I12" s="8">
        <f>IF(S12=6,SUMPRODUCT(B12:G12,History!B12:G12),NA())</f>
        <v>467177.66499999998</v>
      </c>
      <c r="J12" s="8">
        <f t="shared" si="0"/>
        <v>506097.66499999998</v>
      </c>
      <c r="K12" s="8">
        <f>SUMIFS(Ledger!$L$7:$L$1006,Ledger!$C$7:$C$1006,Portfolio!$C$5,Ledger!$B$7:$B$1006,$A12)</f>
        <v>0</v>
      </c>
      <c r="L12" s="10">
        <f>IF(A12&lt;Holdings!$G$24,"",IF(A12=Holdings!$G$24,IF(K12&gt;0,J12/K12-1,NA()),IF(J11&gt;0,(J12-K12)/J11-1,NA())))</f>
        <v>-2.3129906731755856E-4</v>
      </c>
      <c r="M12" s="11">
        <f>IF(A12&lt;Holdings!$G$24,"",IF(A12=Holdings!$G$24,100*(1+L12),M11*(1+L12)))</f>
        <v>101.219533</v>
      </c>
      <c r="N12" s="11">
        <f>IF(A12&lt;Holdings!$G$24,"",IF(A12=Holdings!$G$24,MAX(100,M12),MAX(N11,M12)))</f>
        <v>101.2429504</v>
      </c>
      <c r="O12" s="10">
        <f>IF(A12&lt;Holdings!$G$24,"",M12/N12-1)</f>
        <v>-2.3129906731755856E-4</v>
      </c>
      <c r="P12" s="11">
        <f>IF(A12&lt;Holdings!$G$24,"",IF(History!H12&gt;0,History!H12/INDEX(History!$H$7:$H$136,MATCH(Holdings!$G$24,History!$A$7:$A$136,0))*100,NA()))</f>
        <v>101.25893360000001</v>
      </c>
      <c r="Q12" s="10">
        <f>IF(A12&lt;=Holdings!$G$24,"",P12/P11-1)</f>
        <v>-1.3466291178907408E-3</v>
      </c>
      <c r="R12" s="8">
        <f>IF(A12&gt;Portfolio!$J$5,0,-K12+IF(A12=Portfolio!$J$5,J12,0))</f>
        <v>0</v>
      </c>
      <c r="S12" s="1">
        <f>COUNTIFS(History!B12:G12,"&gt;0")</f>
        <v>6</v>
      </c>
      <c r="T12" s="1" t="str">
        <f t="shared" si="1"/>
        <v>30-Mar</v>
      </c>
      <c r="U12" s="10">
        <f>IF(AND(A12&lt;=Portfolio!$J$5,A12&gt;=Holdings!$G$24),O12,0)</f>
        <v>-2.3129906731755856E-4</v>
      </c>
      <c r="V12" s="12">
        <f>IF(AND(A12&gt;Holdings!$G$24,A12&lt;=Portfolio!$J$5),L12,"")</f>
        <v>-2.3129906731755856E-4</v>
      </c>
      <c r="W12" s="12">
        <f>IF(AND(A12&gt;Holdings!$G$24,A12&lt;=Portfolio!$J$5),Q12,"")</f>
        <v>-1.3466291178907408E-3</v>
      </c>
    </row>
    <row r="13" spans="1:23" ht="19.95" customHeight="1" x14ac:dyDescent="0.3">
      <c r="A13" s="7">
        <v>46112</v>
      </c>
      <c r="B13" s="1">
        <f>SUMIFS(Ledger!$J$7:$J$1006,Ledger!$C$7:$C$1006,Portfolio!$C$5,Ledger!$E$7:$E$1006,History!B$6,Ledger!$B$7:$B$1006,"&lt;="&amp;$A13)</f>
        <v>80</v>
      </c>
      <c r="C13" s="1">
        <f>SUMIFS(Ledger!$J$7:$J$1006,Ledger!$C$7:$C$1006,Portfolio!$C$5,Ledger!$E$7:$E$1006,History!C$6,Ledger!$B$7:$B$1006,"&lt;="&amp;$A13)</f>
        <v>100</v>
      </c>
      <c r="D13" s="1">
        <f>SUMIFS(Ledger!$J$7:$J$1006,Ledger!$C$7:$C$1006,Portfolio!$C$5,Ledger!$E$7:$E$1006,History!D$6,Ledger!$B$7:$B$1006,"&lt;="&amp;$A13)</f>
        <v>70</v>
      </c>
      <c r="E13" s="1">
        <f>SUMIFS(Ledger!$J$7:$J$1006,Ledger!$C$7:$C$1006,Portfolio!$C$5,Ledger!$E$7:$E$1006,History!E$6,Ledger!$B$7:$B$1006,"&lt;="&amp;$A13)</f>
        <v>180</v>
      </c>
      <c r="F13" s="1">
        <f>SUMIFS(Ledger!$J$7:$J$1006,Ledger!$C$7:$C$1006,Portfolio!$C$5,Ledger!$E$7:$E$1006,History!F$6,Ledger!$B$7:$B$1006,"&lt;="&amp;$A13)</f>
        <v>400</v>
      </c>
      <c r="G13" s="1">
        <f>SUMIFS(Ledger!$J$7:$J$1006,Ledger!$C$7:$C$1006,Portfolio!$C$5,Ledger!$E$7:$E$1006,History!G$6,Ledger!$B$7:$B$1006,"&lt;="&amp;$A13)</f>
        <v>600</v>
      </c>
      <c r="H13" s="8">
        <f>SUMIFS(Ledger!$K$7:$K$1006,Ledger!$C$7:$C$1006,Portfolio!$C$5,Ledger!$B$7:$B$1006,"&lt;="&amp;$A13)</f>
        <v>38920</v>
      </c>
      <c r="I13" s="8">
        <f>IF(S13=6,SUMPRODUCT(B13:G13,History!B13:G13),NA())</f>
        <v>469031.89</v>
      </c>
      <c r="J13" s="8">
        <f t="shared" si="0"/>
        <v>507951.89</v>
      </c>
      <c r="K13" s="8">
        <f>SUMIFS(Ledger!$L$7:$L$1006,Ledger!$C$7:$C$1006,Portfolio!$C$5,Ledger!$B$7:$B$1006,$A13)</f>
        <v>0</v>
      </c>
      <c r="L13" s="10">
        <f>IF(A13&lt;Holdings!$G$24,"",IF(A13=Holdings!$G$24,IF(K13&gt;0,J13/K13-1,NA()),IF(J12&gt;0,(J13-K13)/J12-1,NA())))</f>
        <v>3.6637691264591599E-3</v>
      </c>
      <c r="M13" s="11">
        <f>IF(A13&lt;Holdings!$G$24,"",IF(A13=Holdings!$G$24,100*(1+L13),M12*(1+L13)))</f>
        <v>101.59037800000002</v>
      </c>
      <c r="N13" s="11">
        <f>IF(A13&lt;Holdings!$G$24,"",IF(A13=Holdings!$G$24,MAX(100,M13),MAX(N12,M13)))</f>
        <v>101.59037800000002</v>
      </c>
      <c r="O13" s="10">
        <f>IF(A13&lt;Holdings!$G$24,"",M13/N13-1)</f>
        <v>0</v>
      </c>
      <c r="P13" s="11">
        <f>IF(A13&lt;Holdings!$G$24,"",IF(History!H13&gt;0,History!H13/INDEX(History!$H$7:$H$136,MATCH(Holdings!$G$24,History!$A$7:$A$136,0))*100,NA()))</f>
        <v>100.9406176</v>
      </c>
      <c r="Q13" s="10">
        <f>IF(A13&lt;=Holdings!$G$24,"",P13/P12-1)</f>
        <v>-3.1435843602446445E-3</v>
      </c>
      <c r="R13" s="8">
        <f>IF(A13&gt;Portfolio!$J$5,0,-K13+IF(A13=Portfolio!$J$5,J13,0))</f>
        <v>0</v>
      </c>
      <c r="S13" s="1">
        <f>COUNTIFS(History!B13:G13,"&gt;0")</f>
        <v>6</v>
      </c>
      <c r="T13" s="1" t="str">
        <f t="shared" si="1"/>
        <v>31-Mar</v>
      </c>
      <c r="U13" s="10">
        <f>IF(AND(A13&lt;=Portfolio!$J$5,A13&gt;=Holdings!$G$24),O13,0)</f>
        <v>0</v>
      </c>
      <c r="V13" s="12">
        <f>IF(AND(A13&gt;Holdings!$G$24,A13&lt;=Portfolio!$J$5),L13,"")</f>
        <v>3.6637691264591599E-3</v>
      </c>
      <c r="W13" s="12">
        <f>IF(AND(A13&gt;Holdings!$G$24,A13&lt;=Portfolio!$J$5),Q13,"")</f>
        <v>-3.1435843602446445E-3</v>
      </c>
    </row>
    <row r="14" spans="1:23" ht="19.95" customHeight="1" x14ac:dyDescent="0.3">
      <c r="A14" s="7">
        <v>46113</v>
      </c>
      <c r="B14" s="1">
        <f>SUMIFS(Ledger!$J$7:$J$1006,Ledger!$C$7:$C$1006,Portfolio!$C$5,Ledger!$E$7:$E$1006,History!B$6,Ledger!$B$7:$B$1006,"&lt;="&amp;$A14)</f>
        <v>80</v>
      </c>
      <c r="C14" s="1">
        <f>SUMIFS(Ledger!$J$7:$J$1006,Ledger!$C$7:$C$1006,Portfolio!$C$5,Ledger!$E$7:$E$1006,History!C$6,Ledger!$B$7:$B$1006,"&lt;="&amp;$A14)</f>
        <v>100</v>
      </c>
      <c r="D14" s="1">
        <f>SUMIFS(Ledger!$J$7:$J$1006,Ledger!$C$7:$C$1006,Portfolio!$C$5,Ledger!$E$7:$E$1006,History!D$6,Ledger!$B$7:$B$1006,"&lt;="&amp;$A14)</f>
        <v>70</v>
      </c>
      <c r="E14" s="1">
        <f>SUMIFS(Ledger!$J$7:$J$1006,Ledger!$C$7:$C$1006,Portfolio!$C$5,Ledger!$E$7:$E$1006,History!E$6,Ledger!$B$7:$B$1006,"&lt;="&amp;$A14)</f>
        <v>180</v>
      </c>
      <c r="F14" s="1">
        <f>SUMIFS(Ledger!$J$7:$J$1006,Ledger!$C$7:$C$1006,Portfolio!$C$5,Ledger!$E$7:$E$1006,History!F$6,Ledger!$B$7:$B$1006,"&lt;="&amp;$A14)</f>
        <v>400</v>
      </c>
      <c r="G14" s="1">
        <f>SUMIFS(Ledger!$J$7:$J$1006,Ledger!$C$7:$C$1006,Portfolio!$C$5,Ledger!$E$7:$E$1006,History!G$6,Ledger!$B$7:$B$1006,"&lt;="&amp;$A14)</f>
        <v>600</v>
      </c>
      <c r="H14" s="8">
        <f>SUMIFS(Ledger!$K$7:$K$1006,Ledger!$C$7:$C$1006,Portfolio!$C$5,Ledger!$B$7:$B$1006,"&lt;="&amp;$A14)</f>
        <v>38920</v>
      </c>
      <c r="I14" s="8">
        <f>IF(S14=6,SUMPRODUCT(B14:G14,History!B14:G14),NA())</f>
        <v>468579.636</v>
      </c>
      <c r="J14" s="8">
        <f t="shared" si="0"/>
        <v>507499.636</v>
      </c>
      <c r="K14" s="8">
        <f>SUMIFS(Ledger!$L$7:$L$1006,Ledger!$C$7:$C$1006,Portfolio!$C$5,Ledger!$B$7:$B$1006,$A14)</f>
        <v>0</v>
      </c>
      <c r="L14" s="10">
        <f>IF(A14&lt;Holdings!$G$24,"",IF(A14=Holdings!$G$24,IF(K14&gt;0,J14/K14-1,NA()),IF(J13&gt;0,(J14-K14)/J13-1,NA())))</f>
        <v>-8.9034809969901207E-4</v>
      </c>
      <c r="M14" s="11">
        <f>IF(A14&lt;Holdings!$G$24,"",IF(A14=Holdings!$G$24,100*(1+L14),M13*(1+L14)))</f>
        <v>101.49992720000002</v>
      </c>
      <c r="N14" s="11">
        <f>IF(A14&lt;Holdings!$G$24,"",IF(A14=Holdings!$G$24,MAX(100,M14),MAX(N13,M14)))</f>
        <v>101.59037800000002</v>
      </c>
      <c r="O14" s="10">
        <f>IF(A14&lt;Holdings!$G$24,"",M14/N14-1)</f>
        <v>-8.9034809969901207E-4</v>
      </c>
      <c r="P14" s="11">
        <f>IF(A14&lt;Holdings!$G$24,"",IF(History!H14&gt;0,History!H14/INDEX(History!$H$7:$H$136,MATCH(Holdings!$G$24,History!$A$7:$A$136,0))*100,NA()))</f>
        <v>100.4977756</v>
      </c>
      <c r="Q14" s="10">
        <f>IF(A14&lt;=Holdings!$G$24,"",P14/P13-1)</f>
        <v>-4.3871536605299966E-3</v>
      </c>
      <c r="R14" s="8">
        <f>IF(A14&gt;Portfolio!$J$5,0,-K14+IF(A14=Portfolio!$J$5,J14,0))</f>
        <v>0</v>
      </c>
      <c r="S14" s="1">
        <f>COUNTIFS(History!B14:G14,"&gt;0")</f>
        <v>6</v>
      </c>
      <c r="T14" s="1" t="str">
        <f t="shared" si="1"/>
        <v>01-Apr</v>
      </c>
      <c r="U14" s="10">
        <f>IF(AND(A14&lt;=Portfolio!$J$5,A14&gt;=Holdings!$G$24),O14,0)</f>
        <v>-8.9034809969901207E-4</v>
      </c>
      <c r="V14" s="12">
        <f>IF(AND(A14&gt;Holdings!$G$24,A14&lt;=Portfolio!$J$5),L14,"")</f>
        <v>-8.9034809969901207E-4</v>
      </c>
      <c r="W14" s="12">
        <f>IF(AND(A14&gt;Holdings!$G$24,A14&lt;=Portfolio!$J$5),Q14,"")</f>
        <v>-4.3871536605299966E-3</v>
      </c>
    </row>
    <row r="15" spans="1:23" ht="19.95" customHeight="1" x14ac:dyDescent="0.3">
      <c r="A15" s="7">
        <v>46114</v>
      </c>
      <c r="B15" s="1">
        <f>SUMIFS(Ledger!$J$7:$J$1006,Ledger!$C$7:$C$1006,Portfolio!$C$5,Ledger!$E$7:$E$1006,History!B$6,Ledger!$B$7:$B$1006,"&lt;="&amp;$A15)</f>
        <v>80</v>
      </c>
      <c r="C15" s="1">
        <f>SUMIFS(Ledger!$J$7:$J$1006,Ledger!$C$7:$C$1006,Portfolio!$C$5,Ledger!$E$7:$E$1006,History!C$6,Ledger!$B$7:$B$1006,"&lt;="&amp;$A15)</f>
        <v>100</v>
      </c>
      <c r="D15" s="1">
        <f>SUMIFS(Ledger!$J$7:$J$1006,Ledger!$C$7:$C$1006,Portfolio!$C$5,Ledger!$E$7:$E$1006,History!D$6,Ledger!$B$7:$B$1006,"&lt;="&amp;$A15)</f>
        <v>70</v>
      </c>
      <c r="E15" s="1">
        <f>SUMIFS(Ledger!$J$7:$J$1006,Ledger!$C$7:$C$1006,Portfolio!$C$5,Ledger!$E$7:$E$1006,History!E$6,Ledger!$B$7:$B$1006,"&lt;="&amp;$A15)</f>
        <v>180</v>
      </c>
      <c r="F15" s="1">
        <f>SUMIFS(Ledger!$J$7:$J$1006,Ledger!$C$7:$C$1006,Portfolio!$C$5,Ledger!$E$7:$E$1006,History!F$6,Ledger!$B$7:$B$1006,"&lt;="&amp;$A15)</f>
        <v>400</v>
      </c>
      <c r="G15" s="1">
        <f>SUMIFS(Ledger!$J$7:$J$1006,Ledger!$C$7:$C$1006,Portfolio!$C$5,Ledger!$E$7:$E$1006,History!G$6,Ledger!$B$7:$B$1006,"&lt;="&amp;$A15)</f>
        <v>600</v>
      </c>
      <c r="H15" s="8">
        <f>SUMIFS(Ledger!$K$7:$K$1006,Ledger!$C$7:$C$1006,Portfolio!$C$5,Ledger!$B$7:$B$1006,"&lt;="&amp;$A15)</f>
        <v>38920</v>
      </c>
      <c r="I15" s="8">
        <f>IF(S15=6,SUMPRODUCT(B15:G15,History!B15:G15),NA())</f>
        <v>466182.587</v>
      </c>
      <c r="J15" s="8">
        <f t="shared" si="0"/>
        <v>505102.587</v>
      </c>
      <c r="K15" s="8">
        <f>SUMIFS(Ledger!$L$7:$L$1006,Ledger!$C$7:$C$1006,Portfolio!$C$5,Ledger!$B$7:$B$1006,$A15)</f>
        <v>0</v>
      </c>
      <c r="L15" s="10">
        <f>IF(A15&lt;Holdings!$G$24,"",IF(A15=Holdings!$G$24,IF(K15&gt;0,J15/K15-1,NA()),IF(J14&gt;0,(J15-K15)/J14-1,NA())))</f>
        <v>-4.723252648796028E-3</v>
      </c>
      <c r="M15" s="11">
        <f>IF(A15&lt;Holdings!$G$24,"",IF(A15=Holdings!$G$24,100*(1+L15),M14*(1+L15)))</f>
        <v>101.02051740000002</v>
      </c>
      <c r="N15" s="11">
        <f>IF(A15&lt;Holdings!$G$24,"",IF(A15=Holdings!$G$24,MAX(100,M15),MAX(N14,M15)))</f>
        <v>101.59037800000002</v>
      </c>
      <c r="O15" s="10">
        <f>IF(A15&lt;Holdings!$G$24,"",M15/N15-1)</f>
        <v>-5.6093954094746934E-3</v>
      </c>
      <c r="P15" s="11">
        <f>IF(A15&lt;Holdings!$G$24,"",IF(History!H15&gt;0,History!H15/INDEX(History!$H$7:$H$136,MATCH(Holdings!$G$24,History!$A$7:$A$136,0))*100,NA()))</f>
        <v>100.23689070000002</v>
      </c>
      <c r="Q15" s="10">
        <f>IF(A15&lt;=Holdings!$G$24,"",P15/P14-1)</f>
        <v>-2.5959271082610647E-3</v>
      </c>
      <c r="R15" s="8">
        <f>IF(A15&gt;Portfolio!$J$5,0,-K15+IF(A15=Portfolio!$J$5,J15,0))</f>
        <v>0</v>
      </c>
      <c r="S15" s="1">
        <f>COUNTIFS(History!B15:G15,"&gt;0")</f>
        <v>6</v>
      </c>
      <c r="T15" s="1" t="str">
        <f t="shared" si="1"/>
        <v>02-Apr</v>
      </c>
      <c r="U15" s="10">
        <f>IF(AND(A15&lt;=Portfolio!$J$5,A15&gt;=Holdings!$G$24),O15,0)</f>
        <v>-5.6093954094746934E-3</v>
      </c>
      <c r="V15" s="12">
        <f>IF(AND(A15&gt;Holdings!$G$24,A15&lt;=Portfolio!$J$5),L15,"")</f>
        <v>-4.723252648796028E-3</v>
      </c>
      <c r="W15" s="12">
        <f>IF(AND(A15&gt;Holdings!$G$24,A15&lt;=Portfolio!$J$5),Q15,"")</f>
        <v>-2.5959271082610647E-3</v>
      </c>
    </row>
    <row r="16" spans="1:23" ht="19.95" customHeight="1" x14ac:dyDescent="0.3">
      <c r="A16" s="7">
        <v>46115</v>
      </c>
      <c r="B16" s="1">
        <f>SUMIFS(Ledger!$J$7:$J$1006,Ledger!$C$7:$C$1006,Portfolio!$C$5,Ledger!$E$7:$E$1006,History!B$6,Ledger!$B$7:$B$1006,"&lt;="&amp;$A16)</f>
        <v>80</v>
      </c>
      <c r="C16" s="1">
        <f>SUMIFS(Ledger!$J$7:$J$1006,Ledger!$C$7:$C$1006,Portfolio!$C$5,Ledger!$E$7:$E$1006,History!C$6,Ledger!$B$7:$B$1006,"&lt;="&amp;$A16)</f>
        <v>100</v>
      </c>
      <c r="D16" s="1">
        <f>SUMIFS(Ledger!$J$7:$J$1006,Ledger!$C$7:$C$1006,Portfolio!$C$5,Ledger!$E$7:$E$1006,History!D$6,Ledger!$B$7:$B$1006,"&lt;="&amp;$A16)</f>
        <v>70</v>
      </c>
      <c r="E16" s="1">
        <f>SUMIFS(Ledger!$J$7:$J$1006,Ledger!$C$7:$C$1006,Portfolio!$C$5,Ledger!$E$7:$E$1006,History!E$6,Ledger!$B$7:$B$1006,"&lt;="&amp;$A16)</f>
        <v>180</v>
      </c>
      <c r="F16" s="1">
        <f>SUMIFS(Ledger!$J$7:$J$1006,Ledger!$C$7:$C$1006,Portfolio!$C$5,Ledger!$E$7:$E$1006,History!F$6,Ledger!$B$7:$B$1006,"&lt;="&amp;$A16)</f>
        <v>400</v>
      </c>
      <c r="G16" s="1">
        <f>SUMIFS(Ledger!$J$7:$J$1006,Ledger!$C$7:$C$1006,Portfolio!$C$5,Ledger!$E$7:$E$1006,History!G$6,Ledger!$B$7:$B$1006,"&lt;="&amp;$A16)</f>
        <v>600</v>
      </c>
      <c r="H16" s="8">
        <f>SUMIFS(Ledger!$K$7:$K$1006,Ledger!$C$7:$C$1006,Portfolio!$C$5,Ledger!$B$7:$B$1006,"&lt;="&amp;$A16)</f>
        <v>38920</v>
      </c>
      <c r="I16" s="8">
        <f>IF(S16=6,SUMPRODUCT(B16:G16,History!B16:G16),NA())</f>
        <v>461263.62800000003</v>
      </c>
      <c r="J16" s="8">
        <f t="shared" si="0"/>
        <v>500183.62800000003</v>
      </c>
      <c r="K16" s="8">
        <f>SUMIFS(Ledger!$L$7:$L$1006,Ledger!$C$7:$C$1006,Portfolio!$C$5,Ledger!$B$7:$B$1006,$A16)</f>
        <v>0</v>
      </c>
      <c r="L16" s="10">
        <f>IF(A16&lt;Holdings!$G$24,"",IF(A16=Holdings!$G$24,IF(K16&gt;0,J16/K16-1,NA()),IF(J15&gt;0,(J16-K16)/J15-1,NA())))</f>
        <v>-9.7385345603070439E-3</v>
      </c>
      <c r="M16" s="11">
        <f>IF(A16&lt;Holdings!$G$24,"",IF(A16=Holdings!$G$24,100*(1+L16),M15*(1+L16)))</f>
        <v>100.03672560000001</v>
      </c>
      <c r="N16" s="11">
        <f>IF(A16&lt;Holdings!$G$24,"",IF(A16=Holdings!$G$24,MAX(100,M16),MAX(N15,M16)))</f>
        <v>101.59037800000002</v>
      </c>
      <c r="O16" s="10">
        <f>IF(A16&lt;Holdings!$G$24,"",M16/N16-1)</f>
        <v>-1.5293302678724197E-2</v>
      </c>
      <c r="P16" s="11">
        <f>IF(A16&lt;Holdings!$G$24,"",IF(History!H16&gt;0,History!H16/INDEX(History!$H$7:$H$136,MATCH(Holdings!$G$24,History!$A$7:$A$136,0))*100,NA()))</f>
        <v>99.58256639999999</v>
      </c>
      <c r="Q16" s="10">
        <f>IF(A16&lt;=Holdings!$G$24,"",P16/P15-1)</f>
        <v>-6.5277792979269167E-3</v>
      </c>
      <c r="R16" s="8">
        <f>IF(A16&gt;Portfolio!$J$5,0,-K16+IF(A16=Portfolio!$J$5,J16,0))</f>
        <v>0</v>
      </c>
      <c r="S16" s="1">
        <f>COUNTIFS(History!B16:G16,"&gt;0")</f>
        <v>6</v>
      </c>
      <c r="T16" s="1" t="str">
        <f t="shared" si="1"/>
        <v>03-Apr</v>
      </c>
      <c r="U16" s="10">
        <f>IF(AND(A16&lt;=Portfolio!$J$5,A16&gt;=Holdings!$G$24),O16,0)</f>
        <v>-1.5293302678724197E-2</v>
      </c>
      <c r="V16" s="12">
        <f>IF(AND(A16&gt;Holdings!$G$24,A16&lt;=Portfolio!$J$5),L16,"")</f>
        <v>-9.7385345603070439E-3</v>
      </c>
      <c r="W16" s="12">
        <f>IF(AND(A16&gt;Holdings!$G$24,A16&lt;=Portfolio!$J$5),Q16,"")</f>
        <v>-6.5277792979269167E-3</v>
      </c>
    </row>
    <row r="17" spans="1:23" ht="19.95" customHeight="1" x14ac:dyDescent="0.3">
      <c r="A17" s="7">
        <v>46118</v>
      </c>
      <c r="B17" s="1">
        <f>SUMIFS(Ledger!$J$7:$J$1006,Ledger!$C$7:$C$1006,Portfolio!$C$5,Ledger!$E$7:$E$1006,History!B$6,Ledger!$B$7:$B$1006,"&lt;="&amp;$A17)</f>
        <v>80</v>
      </c>
      <c r="C17" s="1">
        <f>SUMIFS(Ledger!$J$7:$J$1006,Ledger!$C$7:$C$1006,Portfolio!$C$5,Ledger!$E$7:$E$1006,History!C$6,Ledger!$B$7:$B$1006,"&lt;="&amp;$A17)</f>
        <v>100</v>
      </c>
      <c r="D17" s="1">
        <f>SUMIFS(Ledger!$J$7:$J$1006,Ledger!$C$7:$C$1006,Portfolio!$C$5,Ledger!$E$7:$E$1006,History!D$6,Ledger!$B$7:$B$1006,"&lt;="&amp;$A17)</f>
        <v>70</v>
      </c>
      <c r="E17" s="1">
        <f>SUMIFS(Ledger!$J$7:$J$1006,Ledger!$C$7:$C$1006,Portfolio!$C$5,Ledger!$E$7:$E$1006,History!E$6,Ledger!$B$7:$B$1006,"&lt;="&amp;$A17)</f>
        <v>180</v>
      </c>
      <c r="F17" s="1">
        <f>SUMIFS(Ledger!$J$7:$J$1006,Ledger!$C$7:$C$1006,Portfolio!$C$5,Ledger!$E$7:$E$1006,History!F$6,Ledger!$B$7:$B$1006,"&lt;="&amp;$A17)</f>
        <v>400</v>
      </c>
      <c r="G17" s="1">
        <f>SUMIFS(Ledger!$J$7:$J$1006,Ledger!$C$7:$C$1006,Portfolio!$C$5,Ledger!$E$7:$E$1006,History!G$6,Ledger!$B$7:$B$1006,"&lt;="&amp;$A17)</f>
        <v>600</v>
      </c>
      <c r="H17" s="8">
        <f>SUMIFS(Ledger!$K$7:$K$1006,Ledger!$C$7:$C$1006,Portfolio!$C$5,Ledger!$B$7:$B$1006,"&lt;="&amp;$A17)</f>
        <v>38920</v>
      </c>
      <c r="I17" s="8">
        <f>IF(S17=6,SUMPRODUCT(B17:G17,History!B17:G17),NA())</f>
        <v>459827.07699999999</v>
      </c>
      <c r="J17" s="8">
        <f t="shared" si="0"/>
        <v>498747.07699999999</v>
      </c>
      <c r="K17" s="8">
        <f>SUMIFS(Ledger!$L$7:$L$1006,Ledger!$C$7:$C$1006,Portfolio!$C$5,Ledger!$B$7:$B$1006,$A17)</f>
        <v>0</v>
      </c>
      <c r="L17" s="10">
        <f>IF(A17&lt;Holdings!$G$24,"",IF(A17=Holdings!$G$24,IF(K17&gt;0,J17/K17-1,NA()),IF(J16&gt;0,(J17-K17)/J16-1,NA())))</f>
        <v>-2.8720472234249339E-3</v>
      </c>
      <c r="M17" s="11">
        <f>IF(A17&lt;Holdings!$G$24,"",IF(A17=Holdings!$G$24,100*(1+L17),M16*(1+L17)))</f>
        <v>99.749415400000004</v>
      </c>
      <c r="N17" s="11">
        <f>IF(A17&lt;Holdings!$G$24,"",IF(A17=Holdings!$G$24,MAX(100,M17),MAX(N16,M17)))</f>
        <v>101.59037800000002</v>
      </c>
      <c r="O17" s="10">
        <f>IF(A17&lt;Holdings!$G$24,"",M17/N17-1)</f>
        <v>-1.8121426814653785E-2</v>
      </c>
      <c r="P17" s="11">
        <f>IF(A17&lt;Holdings!$G$24,"",IF(History!H17&gt;0,History!H17/INDEX(History!$H$7:$H$136,MATCH(Holdings!$G$24,History!$A$7:$A$136,0))*100,NA()))</f>
        <v>99.457096700000008</v>
      </c>
      <c r="Q17" s="10">
        <f>IF(A17&lt;=Holdings!$G$24,"",P17/P16-1)</f>
        <v>-1.2599564816998532E-3</v>
      </c>
      <c r="R17" s="8">
        <f>IF(A17&gt;Portfolio!$J$5,0,-K17+IF(A17=Portfolio!$J$5,J17,0))</f>
        <v>0</v>
      </c>
      <c r="S17" s="1">
        <f>COUNTIFS(History!B17:G17,"&gt;0")</f>
        <v>6</v>
      </c>
      <c r="T17" s="1" t="str">
        <f t="shared" si="1"/>
        <v>06-Apr</v>
      </c>
      <c r="U17" s="10">
        <f>IF(AND(A17&lt;=Portfolio!$J$5,A17&gt;=Holdings!$G$24),O17,0)</f>
        <v>-1.8121426814653785E-2</v>
      </c>
      <c r="V17" s="12">
        <f>IF(AND(A17&gt;Holdings!$G$24,A17&lt;=Portfolio!$J$5),L17,"")</f>
        <v>-2.8720472234249339E-3</v>
      </c>
      <c r="W17" s="12">
        <f>IF(AND(A17&gt;Holdings!$G$24,A17&lt;=Portfolio!$J$5),Q17,"")</f>
        <v>-1.2599564816998532E-3</v>
      </c>
    </row>
    <row r="18" spans="1:23" ht="19.95" customHeight="1" x14ac:dyDescent="0.3">
      <c r="A18" s="7">
        <v>46119</v>
      </c>
      <c r="B18" s="1">
        <f>SUMIFS(Ledger!$J$7:$J$1006,Ledger!$C$7:$C$1006,Portfolio!$C$5,Ledger!$E$7:$E$1006,History!B$6,Ledger!$B$7:$B$1006,"&lt;="&amp;$A18)</f>
        <v>80</v>
      </c>
      <c r="C18" s="1">
        <f>SUMIFS(Ledger!$J$7:$J$1006,Ledger!$C$7:$C$1006,Portfolio!$C$5,Ledger!$E$7:$E$1006,History!C$6,Ledger!$B$7:$B$1006,"&lt;="&amp;$A18)</f>
        <v>100</v>
      </c>
      <c r="D18" s="1">
        <f>SUMIFS(Ledger!$J$7:$J$1006,Ledger!$C$7:$C$1006,Portfolio!$C$5,Ledger!$E$7:$E$1006,History!D$6,Ledger!$B$7:$B$1006,"&lt;="&amp;$A18)</f>
        <v>70</v>
      </c>
      <c r="E18" s="1">
        <f>SUMIFS(Ledger!$J$7:$J$1006,Ledger!$C$7:$C$1006,Portfolio!$C$5,Ledger!$E$7:$E$1006,History!E$6,Ledger!$B$7:$B$1006,"&lt;="&amp;$A18)</f>
        <v>180</v>
      </c>
      <c r="F18" s="1">
        <f>SUMIFS(Ledger!$J$7:$J$1006,Ledger!$C$7:$C$1006,Portfolio!$C$5,Ledger!$E$7:$E$1006,History!F$6,Ledger!$B$7:$B$1006,"&lt;="&amp;$A18)</f>
        <v>400</v>
      </c>
      <c r="G18" s="1">
        <f>SUMIFS(Ledger!$J$7:$J$1006,Ledger!$C$7:$C$1006,Portfolio!$C$5,Ledger!$E$7:$E$1006,History!G$6,Ledger!$B$7:$B$1006,"&lt;="&amp;$A18)</f>
        <v>600</v>
      </c>
      <c r="H18" s="8">
        <f>SUMIFS(Ledger!$K$7:$K$1006,Ledger!$C$7:$C$1006,Portfolio!$C$5,Ledger!$B$7:$B$1006,"&lt;="&amp;$A18)</f>
        <v>38920</v>
      </c>
      <c r="I18" s="8">
        <f>IF(S18=6,SUMPRODUCT(B18:G18,History!B18:G18),NA())</f>
        <v>462570.06999999995</v>
      </c>
      <c r="J18" s="8">
        <f t="shared" si="0"/>
        <v>501490.06999999995</v>
      </c>
      <c r="K18" s="8">
        <f>SUMIFS(Ledger!$L$7:$L$1006,Ledger!$C$7:$C$1006,Portfolio!$C$5,Ledger!$B$7:$B$1006,$A18)</f>
        <v>0</v>
      </c>
      <c r="L18" s="10">
        <f>IF(A18&lt;Holdings!$G$24,"",IF(A18=Holdings!$G$24,IF(K18&gt;0,J18/K18-1,NA()),IF(J17&gt;0,(J18-K18)/J17-1,NA())))</f>
        <v>5.4997675705674709E-3</v>
      </c>
      <c r="M18" s="11">
        <f>IF(A18&lt;Holdings!$G$24,"",IF(A18=Holdings!$G$24,100*(1+L18),M17*(1+L18)))</f>
        <v>100.29801399999998</v>
      </c>
      <c r="N18" s="11">
        <f>IF(A18&lt;Holdings!$G$24,"",IF(A18=Holdings!$G$24,MAX(100,M18),MAX(N17,M18)))</f>
        <v>101.59037800000002</v>
      </c>
      <c r="O18" s="10">
        <f>IF(A18&lt;Holdings!$G$24,"",M18/N18-1)</f>
        <v>-1.2721322879614028E-2</v>
      </c>
      <c r="P18" s="11">
        <f>IF(A18&lt;Holdings!$G$24,"",IF(History!H18&gt;0,History!H18/INDEX(History!$H$7:$H$136,MATCH(Holdings!$G$24,History!$A$7:$A$136,0))*100,NA()))</f>
        <v>99.658941900000002</v>
      </c>
      <c r="Q18" s="10">
        <f>IF(A18&lt;=Holdings!$G$24,"",P18/P17-1)</f>
        <v>2.0294700599277071E-3</v>
      </c>
      <c r="R18" s="8">
        <f>IF(A18&gt;Portfolio!$J$5,0,-K18+IF(A18=Portfolio!$J$5,J18,0))</f>
        <v>0</v>
      </c>
      <c r="S18" s="1">
        <f>COUNTIFS(History!B18:G18,"&gt;0")</f>
        <v>6</v>
      </c>
      <c r="T18" s="1" t="str">
        <f t="shared" si="1"/>
        <v>07-Apr</v>
      </c>
      <c r="U18" s="10">
        <f>IF(AND(A18&lt;=Portfolio!$J$5,A18&gt;=Holdings!$G$24),O18,0)</f>
        <v>-1.2721322879614028E-2</v>
      </c>
      <c r="V18" s="12">
        <f>IF(AND(A18&gt;Holdings!$G$24,A18&lt;=Portfolio!$J$5),L18,"")</f>
        <v>5.4997675705674709E-3</v>
      </c>
      <c r="W18" s="12">
        <f>IF(AND(A18&gt;Holdings!$G$24,A18&lt;=Portfolio!$J$5),Q18,"")</f>
        <v>2.0294700599277071E-3</v>
      </c>
    </row>
    <row r="19" spans="1:23" ht="19.95" customHeight="1" x14ac:dyDescent="0.3">
      <c r="A19" s="7">
        <v>46120</v>
      </c>
      <c r="B19" s="1">
        <f>SUMIFS(Ledger!$J$7:$J$1006,Ledger!$C$7:$C$1006,Portfolio!$C$5,Ledger!$E$7:$E$1006,History!B$6,Ledger!$B$7:$B$1006,"&lt;="&amp;$A19)</f>
        <v>80</v>
      </c>
      <c r="C19" s="1">
        <f>SUMIFS(Ledger!$J$7:$J$1006,Ledger!$C$7:$C$1006,Portfolio!$C$5,Ledger!$E$7:$E$1006,History!C$6,Ledger!$B$7:$B$1006,"&lt;="&amp;$A19)</f>
        <v>100</v>
      </c>
      <c r="D19" s="1">
        <f>SUMIFS(Ledger!$J$7:$J$1006,Ledger!$C$7:$C$1006,Portfolio!$C$5,Ledger!$E$7:$E$1006,History!D$6,Ledger!$B$7:$B$1006,"&lt;="&amp;$A19)</f>
        <v>70</v>
      </c>
      <c r="E19" s="1">
        <f>SUMIFS(Ledger!$J$7:$J$1006,Ledger!$C$7:$C$1006,Portfolio!$C$5,Ledger!$E$7:$E$1006,History!E$6,Ledger!$B$7:$B$1006,"&lt;="&amp;$A19)</f>
        <v>180</v>
      </c>
      <c r="F19" s="1">
        <f>SUMIFS(Ledger!$J$7:$J$1006,Ledger!$C$7:$C$1006,Portfolio!$C$5,Ledger!$E$7:$E$1006,History!F$6,Ledger!$B$7:$B$1006,"&lt;="&amp;$A19)</f>
        <v>400</v>
      </c>
      <c r="G19" s="1">
        <f>SUMIFS(Ledger!$J$7:$J$1006,Ledger!$C$7:$C$1006,Portfolio!$C$5,Ledger!$E$7:$E$1006,History!G$6,Ledger!$B$7:$B$1006,"&lt;="&amp;$A19)</f>
        <v>600</v>
      </c>
      <c r="H19" s="8">
        <f>SUMIFS(Ledger!$K$7:$K$1006,Ledger!$C$7:$C$1006,Portfolio!$C$5,Ledger!$B$7:$B$1006,"&lt;="&amp;$A19)</f>
        <v>38920</v>
      </c>
      <c r="I19" s="8">
        <f>IF(S19=6,SUMPRODUCT(B19:G19,History!B19:G19),NA())</f>
        <v>459775.11300000001</v>
      </c>
      <c r="J19" s="8">
        <f t="shared" si="0"/>
        <v>498695.11300000001</v>
      </c>
      <c r="K19" s="8">
        <f>SUMIFS(Ledger!$L$7:$L$1006,Ledger!$C$7:$C$1006,Portfolio!$C$5,Ledger!$B$7:$B$1006,$A19)</f>
        <v>0</v>
      </c>
      <c r="L19" s="10">
        <f>IF(A19&lt;Holdings!$G$24,"",IF(A19=Holdings!$G$24,IF(K19&gt;0,J19/K19-1,NA()),IF(J18&gt;0,(J19-K19)/J18-1,NA())))</f>
        <v>-5.5733047715180728E-3</v>
      </c>
      <c r="M19" s="11">
        <f>IF(A19&lt;Holdings!$G$24,"",IF(A19=Holdings!$G$24,100*(1+L19),M18*(1+L19)))</f>
        <v>99.739022599999998</v>
      </c>
      <c r="N19" s="11">
        <f>IF(A19&lt;Holdings!$G$24,"",IF(A19=Holdings!$G$24,MAX(100,M19),MAX(N18,M19)))</f>
        <v>101.59037800000002</v>
      </c>
      <c r="O19" s="10">
        <f>IF(A19&lt;Holdings!$G$24,"",M19/N19-1)</f>
        <v>-1.8223727841627069E-2</v>
      </c>
      <c r="P19" s="11">
        <f>IF(A19&lt;Holdings!$G$24,"",IF(History!H19&gt;0,History!H19/INDEX(History!$H$7:$H$136,MATCH(Holdings!$G$24,History!$A$7:$A$136,0))*100,NA()))</f>
        <v>99.216424700000005</v>
      </c>
      <c r="Q19" s="10">
        <f>IF(A19&lt;=Holdings!$G$24,"",P19/P18-1)</f>
        <v>-4.440316057579996E-3</v>
      </c>
      <c r="R19" s="8">
        <f>IF(A19&gt;Portfolio!$J$5,0,-K19+IF(A19=Portfolio!$J$5,J19,0))</f>
        <v>0</v>
      </c>
      <c r="S19" s="1">
        <f>COUNTIFS(History!B19:G19,"&gt;0")</f>
        <v>6</v>
      </c>
      <c r="T19" s="1" t="str">
        <f t="shared" si="1"/>
        <v>08-Apr</v>
      </c>
      <c r="U19" s="10">
        <f>IF(AND(A19&lt;=Portfolio!$J$5,A19&gt;=Holdings!$G$24),O19,0)</f>
        <v>-1.8223727841627069E-2</v>
      </c>
      <c r="V19" s="12">
        <f>IF(AND(A19&gt;Holdings!$G$24,A19&lt;=Portfolio!$J$5),L19,"")</f>
        <v>-5.5733047715180728E-3</v>
      </c>
      <c r="W19" s="12">
        <f>IF(AND(A19&gt;Holdings!$G$24,A19&lt;=Portfolio!$J$5),Q19,"")</f>
        <v>-4.440316057579996E-3</v>
      </c>
    </row>
    <row r="20" spans="1:23" ht="19.95" customHeight="1" x14ac:dyDescent="0.3">
      <c r="A20" s="7">
        <v>46121</v>
      </c>
      <c r="B20" s="1">
        <f>SUMIFS(Ledger!$J$7:$J$1006,Ledger!$C$7:$C$1006,Portfolio!$C$5,Ledger!$E$7:$E$1006,History!B$6,Ledger!$B$7:$B$1006,"&lt;="&amp;$A20)</f>
        <v>80</v>
      </c>
      <c r="C20" s="1">
        <f>SUMIFS(Ledger!$J$7:$J$1006,Ledger!$C$7:$C$1006,Portfolio!$C$5,Ledger!$E$7:$E$1006,History!C$6,Ledger!$B$7:$B$1006,"&lt;="&amp;$A20)</f>
        <v>100</v>
      </c>
      <c r="D20" s="1">
        <f>SUMIFS(Ledger!$J$7:$J$1006,Ledger!$C$7:$C$1006,Portfolio!$C$5,Ledger!$E$7:$E$1006,History!D$6,Ledger!$B$7:$B$1006,"&lt;="&amp;$A20)</f>
        <v>70</v>
      </c>
      <c r="E20" s="1">
        <f>SUMIFS(Ledger!$J$7:$J$1006,Ledger!$C$7:$C$1006,Portfolio!$C$5,Ledger!$E$7:$E$1006,History!E$6,Ledger!$B$7:$B$1006,"&lt;="&amp;$A20)</f>
        <v>180</v>
      </c>
      <c r="F20" s="1">
        <f>SUMIFS(Ledger!$J$7:$J$1006,Ledger!$C$7:$C$1006,Portfolio!$C$5,Ledger!$E$7:$E$1006,History!F$6,Ledger!$B$7:$B$1006,"&lt;="&amp;$A20)</f>
        <v>400</v>
      </c>
      <c r="G20" s="1">
        <f>SUMIFS(Ledger!$J$7:$J$1006,Ledger!$C$7:$C$1006,Portfolio!$C$5,Ledger!$E$7:$E$1006,History!G$6,Ledger!$B$7:$B$1006,"&lt;="&amp;$A20)</f>
        <v>600</v>
      </c>
      <c r="H20" s="8">
        <f>SUMIFS(Ledger!$K$7:$K$1006,Ledger!$C$7:$C$1006,Portfolio!$C$5,Ledger!$B$7:$B$1006,"&lt;="&amp;$A20)</f>
        <v>38920</v>
      </c>
      <c r="I20" s="8">
        <f>IF(S20=6,SUMPRODUCT(B20:G20,History!B20:G20),NA())</f>
        <v>461602.79800000001</v>
      </c>
      <c r="J20" s="8">
        <f t="shared" si="0"/>
        <v>500522.79800000001</v>
      </c>
      <c r="K20" s="8">
        <f>SUMIFS(Ledger!$L$7:$L$1006,Ledger!$C$7:$C$1006,Portfolio!$C$5,Ledger!$B$7:$B$1006,$A20)</f>
        <v>0</v>
      </c>
      <c r="L20" s="10">
        <f>IF(A20&lt;Holdings!$G$24,"",IF(A20=Holdings!$G$24,IF(K20&gt;0,J20/K20-1,NA()),IF(J19&gt;0,(J20-K20)/J19-1,NA())))</f>
        <v>3.6649346511643532E-3</v>
      </c>
      <c r="M20" s="11">
        <f>IF(A20&lt;Holdings!$G$24,"",IF(A20=Holdings!$G$24,100*(1+L20),M19*(1+L20)))</f>
        <v>100.1045596</v>
      </c>
      <c r="N20" s="11">
        <f>IF(A20&lt;Holdings!$G$24,"",IF(A20=Holdings!$G$24,MAX(100,M20),MAX(N19,M20)))</f>
        <v>101.59037800000002</v>
      </c>
      <c r="O20" s="10">
        <f>IF(A20&lt;Holdings!$G$24,"",M20/N20-1)</f>
        <v>-1.462558196210284E-2</v>
      </c>
      <c r="P20" s="11">
        <f>IF(A20&lt;Holdings!$G$24,"",IF(History!H20&gt;0,History!H20/INDEX(History!$H$7:$H$136,MATCH(Holdings!$G$24,History!$A$7:$A$136,0))*100,NA()))</f>
        <v>99.094465700000001</v>
      </c>
      <c r="Q20" s="10">
        <f>IF(A20&lt;=Holdings!$G$24,"",P20/P19-1)</f>
        <v>-1.2292218790262988E-3</v>
      </c>
      <c r="R20" s="8">
        <f>IF(A20&gt;Portfolio!$J$5,0,-K20+IF(A20=Portfolio!$J$5,J20,0))</f>
        <v>0</v>
      </c>
      <c r="S20" s="1">
        <f>COUNTIFS(History!B20:G20,"&gt;0")</f>
        <v>6</v>
      </c>
      <c r="T20" s="1" t="str">
        <f t="shared" si="1"/>
        <v>09-Apr</v>
      </c>
      <c r="U20" s="10">
        <f>IF(AND(A20&lt;=Portfolio!$J$5,A20&gt;=Holdings!$G$24),O20,0)</f>
        <v>-1.462558196210284E-2</v>
      </c>
      <c r="V20" s="12">
        <f>IF(AND(A20&gt;Holdings!$G$24,A20&lt;=Portfolio!$J$5),L20,"")</f>
        <v>3.6649346511643532E-3</v>
      </c>
      <c r="W20" s="12">
        <f>IF(AND(A20&gt;Holdings!$G$24,A20&lt;=Portfolio!$J$5),Q20,"")</f>
        <v>-1.2292218790262988E-3</v>
      </c>
    </row>
    <row r="21" spans="1:23" ht="19.95" customHeight="1" x14ac:dyDescent="0.3">
      <c r="A21" s="7">
        <v>46122</v>
      </c>
      <c r="B21" s="1">
        <f>SUMIFS(Ledger!$J$7:$J$1006,Ledger!$C$7:$C$1006,Portfolio!$C$5,Ledger!$E$7:$E$1006,History!B$6,Ledger!$B$7:$B$1006,"&lt;="&amp;$A21)</f>
        <v>80</v>
      </c>
      <c r="C21" s="1">
        <f>SUMIFS(Ledger!$J$7:$J$1006,Ledger!$C$7:$C$1006,Portfolio!$C$5,Ledger!$E$7:$E$1006,History!C$6,Ledger!$B$7:$B$1006,"&lt;="&amp;$A21)</f>
        <v>100</v>
      </c>
      <c r="D21" s="1">
        <f>SUMIFS(Ledger!$J$7:$J$1006,Ledger!$C$7:$C$1006,Portfolio!$C$5,Ledger!$E$7:$E$1006,History!D$6,Ledger!$B$7:$B$1006,"&lt;="&amp;$A21)</f>
        <v>70</v>
      </c>
      <c r="E21" s="1">
        <f>SUMIFS(Ledger!$J$7:$J$1006,Ledger!$C$7:$C$1006,Portfolio!$C$5,Ledger!$E$7:$E$1006,History!E$6,Ledger!$B$7:$B$1006,"&lt;="&amp;$A21)</f>
        <v>180</v>
      </c>
      <c r="F21" s="1">
        <f>SUMIFS(Ledger!$J$7:$J$1006,Ledger!$C$7:$C$1006,Portfolio!$C$5,Ledger!$E$7:$E$1006,History!F$6,Ledger!$B$7:$B$1006,"&lt;="&amp;$A21)</f>
        <v>400</v>
      </c>
      <c r="G21" s="1">
        <f>SUMIFS(Ledger!$J$7:$J$1006,Ledger!$C$7:$C$1006,Portfolio!$C$5,Ledger!$E$7:$E$1006,History!G$6,Ledger!$B$7:$B$1006,"&lt;="&amp;$A21)</f>
        <v>600</v>
      </c>
      <c r="H21" s="8">
        <f>SUMIFS(Ledger!$K$7:$K$1006,Ledger!$C$7:$C$1006,Portfolio!$C$5,Ledger!$B$7:$B$1006,"&lt;="&amp;$A21)</f>
        <v>38920</v>
      </c>
      <c r="I21" s="8">
        <f>IF(S21=6,SUMPRODUCT(B21:G21,History!B21:G21),NA())</f>
        <v>458655.13200000004</v>
      </c>
      <c r="J21" s="8">
        <f t="shared" si="0"/>
        <v>497575.13200000004</v>
      </c>
      <c r="K21" s="8">
        <f>SUMIFS(Ledger!$L$7:$L$1006,Ledger!$C$7:$C$1006,Portfolio!$C$5,Ledger!$B$7:$B$1006,$A21)</f>
        <v>0</v>
      </c>
      <c r="L21" s="10">
        <f>IF(A21&lt;Holdings!$G$24,"",IF(A21=Holdings!$G$24,IF(K21&gt;0,J21/K21-1,NA()),IF(J20&gt;0,(J21-K21)/J20-1,NA())))</f>
        <v>-5.8891743029054755E-3</v>
      </c>
      <c r="M21" s="11">
        <f>IF(A21&lt;Holdings!$G$24,"",IF(A21=Holdings!$G$24,100*(1+L21),M20*(1+L21)))</f>
        <v>99.515026400000011</v>
      </c>
      <c r="N21" s="11">
        <f>IF(A21&lt;Holdings!$G$24,"",IF(A21=Holdings!$G$24,MAX(100,M21),MAX(N20,M21)))</f>
        <v>101.59037800000002</v>
      </c>
      <c r="O21" s="10">
        <f>IF(A21&lt;Holdings!$G$24,"",M21/N21-1)</f>
        <v>-2.0428623663552137E-2</v>
      </c>
      <c r="P21" s="11">
        <f>IF(A21&lt;Holdings!$G$24,"",IF(History!H21&gt;0,History!H21/INDEX(History!$H$7:$H$136,MATCH(Holdings!$G$24,History!$A$7:$A$136,0))*100,NA()))</f>
        <v>98.5995116</v>
      </c>
      <c r="Q21" s="10">
        <f>IF(A21&lt;=Holdings!$G$24,"",P21/P20-1)</f>
        <v>-4.994770358805245E-3</v>
      </c>
      <c r="R21" s="8">
        <f>IF(A21&gt;Portfolio!$J$5,0,-K21+IF(A21=Portfolio!$J$5,J21,0))</f>
        <v>0</v>
      </c>
      <c r="S21" s="1">
        <f>COUNTIFS(History!B21:G21,"&gt;0")</f>
        <v>6</v>
      </c>
      <c r="T21" s="1" t="str">
        <f t="shared" si="1"/>
        <v>10-Apr</v>
      </c>
      <c r="U21" s="10">
        <f>IF(AND(A21&lt;=Portfolio!$J$5,A21&gt;=Holdings!$G$24),O21,0)</f>
        <v>-2.0428623663552137E-2</v>
      </c>
      <c r="V21" s="12">
        <f>IF(AND(A21&gt;Holdings!$G$24,A21&lt;=Portfolio!$J$5),L21,"")</f>
        <v>-5.8891743029054755E-3</v>
      </c>
      <c r="W21" s="12">
        <f>IF(AND(A21&gt;Holdings!$G$24,A21&lt;=Portfolio!$J$5),Q21,"")</f>
        <v>-4.994770358805245E-3</v>
      </c>
    </row>
    <row r="22" spans="1:23" ht="19.95" customHeight="1" x14ac:dyDescent="0.3">
      <c r="A22" s="7">
        <v>46125</v>
      </c>
      <c r="B22" s="1">
        <f>SUMIFS(Ledger!$J$7:$J$1006,Ledger!$C$7:$C$1006,Portfolio!$C$5,Ledger!$E$7:$E$1006,History!B$6,Ledger!$B$7:$B$1006,"&lt;="&amp;$A22)</f>
        <v>80</v>
      </c>
      <c r="C22" s="1">
        <f>SUMIFS(Ledger!$J$7:$J$1006,Ledger!$C$7:$C$1006,Portfolio!$C$5,Ledger!$E$7:$E$1006,History!C$6,Ledger!$B$7:$B$1006,"&lt;="&amp;$A22)</f>
        <v>100</v>
      </c>
      <c r="D22" s="1">
        <f>SUMIFS(Ledger!$J$7:$J$1006,Ledger!$C$7:$C$1006,Portfolio!$C$5,Ledger!$E$7:$E$1006,History!D$6,Ledger!$B$7:$B$1006,"&lt;="&amp;$A22)</f>
        <v>70</v>
      </c>
      <c r="E22" s="1">
        <f>SUMIFS(Ledger!$J$7:$J$1006,Ledger!$C$7:$C$1006,Portfolio!$C$5,Ledger!$E$7:$E$1006,History!E$6,Ledger!$B$7:$B$1006,"&lt;="&amp;$A22)</f>
        <v>180</v>
      </c>
      <c r="F22" s="1">
        <f>SUMIFS(Ledger!$J$7:$J$1006,Ledger!$C$7:$C$1006,Portfolio!$C$5,Ledger!$E$7:$E$1006,History!F$6,Ledger!$B$7:$B$1006,"&lt;="&amp;$A22)</f>
        <v>400</v>
      </c>
      <c r="G22" s="1">
        <f>SUMIFS(Ledger!$J$7:$J$1006,Ledger!$C$7:$C$1006,Portfolio!$C$5,Ledger!$E$7:$E$1006,History!G$6,Ledger!$B$7:$B$1006,"&lt;="&amp;$A22)</f>
        <v>600</v>
      </c>
      <c r="H22" s="8">
        <f>SUMIFS(Ledger!$K$7:$K$1006,Ledger!$C$7:$C$1006,Portfolio!$C$5,Ledger!$B$7:$B$1006,"&lt;="&amp;$A22)</f>
        <v>38920</v>
      </c>
      <c r="I22" s="8">
        <f>IF(S22=6,SUMPRODUCT(B22:G22,History!B22:G22),NA())</f>
        <v>457870.15100000001</v>
      </c>
      <c r="J22" s="8">
        <f t="shared" si="0"/>
        <v>496790.15100000001</v>
      </c>
      <c r="K22" s="8">
        <f>SUMIFS(Ledger!$L$7:$L$1006,Ledger!$C$7:$C$1006,Portfolio!$C$5,Ledger!$B$7:$B$1006,$A22)</f>
        <v>0</v>
      </c>
      <c r="L22" s="10">
        <f>IF(A22&lt;Holdings!$G$24,"",IF(A22=Holdings!$G$24,IF(K22&gt;0,J22/K22-1,NA()),IF(J21&gt;0,(J22-K22)/J21-1,NA())))</f>
        <v>-1.5776130065922045E-3</v>
      </c>
      <c r="M22" s="11">
        <f>IF(A22&lt;Holdings!$G$24,"",IF(A22=Holdings!$G$24,100*(1+L22),M21*(1+L22)))</f>
        <v>99.358030200000002</v>
      </c>
      <c r="N22" s="11">
        <f>IF(A22&lt;Holdings!$G$24,"",IF(A22=Holdings!$G$24,MAX(100,M22),MAX(N21,M22)))</f>
        <v>101.59037800000002</v>
      </c>
      <c r="O22" s="10">
        <f>IF(A22&lt;Holdings!$G$24,"",M22/N22-1)</f>
        <v>-2.1974008207745976E-2</v>
      </c>
      <c r="P22" s="11">
        <f>IF(A22&lt;Holdings!$G$24,"",IF(History!H22&gt;0,History!H22/INDEX(History!$H$7:$H$136,MATCH(Holdings!$G$24,History!$A$7:$A$136,0))*100,NA()))</f>
        <v>97.968122000000008</v>
      </c>
      <c r="Q22" s="10">
        <f>IF(A22&lt;=Holdings!$G$24,"",P22/P21-1)</f>
        <v>-6.4035773580849442E-3</v>
      </c>
      <c r="R22" s="8">
        <f>IF(A22&gt;Portfolio!$J$5,0,-K22+IF(A22=Portfolio!$J$5,J22,0))</f>
        <v>0</v>
      </c>
      <c r="S22" s="1">
        <f>COUNTIFS(History!B22:G22,"&gt;0")</f>
        <v>6</v>
      </c>
      <c r="T22" s="1" t="str">
        <f t="shared" si="1"/>
        <v>13-Apr</v>
      </c>
      <c r="U22" s="10">
        <f>IF(AND(A22&lt;=Portfolio!$J$5,A22&gt;=Holdings!$G$24),O22,0)</f>
        <v>-2.1974008207745976E-2</v>
      </c>
      <c r="V22" s="12">
        <f>IF(AND(A22&gt;Holdings!$G$24,A22&lt;=Portfolio!$J$5),L22,"")</f>
        <v>-1.5776130065922045E-3</v>
      </c>
      <c r="W22" s="12">
        <f>IF(AND(A22&gt;Holdings!$G$24,A22&lt;=Portfolio!$J$5),Q22,"")</f>
        <v>-6.4035773580849442E-3</v>
      </c>
    </row>
    <row r="23" spans="1:23" ht="19.95" customHeight="1" x14ac:dyDescent="0.3">
      <c r="A23" s="7">
        <v>46126</v>
      </c>
      <c r="B23" s="1">
        <f>SUMIFS(Ledger!$J$7:$J$1006,Ledger!$C$7:$C$1006,Portfolio!$C$5,Ledger!$E$7:$E$1006,History!B$6,Ledger!$B$7:$B$1006,"&lt;="&amp;$A23)</f>
        <v>80</v>
      </c>
      <c r="C23" s="1">
        <f>SUMIFS(Ledger!$J$7:$J$1006,Ledger!$C$7:$C$1006,Portfolio!$C$5,Ledger!$E$7:$E$1006,History!C$6,Ledger!$B$7:$B$1006,"&lt;="&amp;$A23)</f>
        <v>100</v>
      </c>
      <c r="D23" s="1">
        <f>SUMIFS(Ledger!$J$7:$J$1006,Ledger!$C$7:$C$1006,Portfolio!$C$5,Ledger!$E$7:$E$1006,History!D$6,Ledger!$B$7:$B$1006,"&lt;="&amp;$A23)</f>
        <v>70</v>
      </c>
      <c r="E23" s="1">
        <f>SUMIFS(Ledger!$J$7:$J$1006,Ledger!$C$7:$C$1006,Portfolio!$C$5,Ledger!$E$7:$E$1006,History!E$6,Ledger!$B$7:$B$1006,"&lt;="&amp;$A23)</f>
        <v>180</v>
      </c>
      <c r="F23" s="1">
        <f>SUMIFS(Ledger!$J$7:$J$1006,Ledger!$C$7:$C$1006,Portfolio!$C$5,Ledger!$E$7:$E$1006,History!F$6,Ledger!$B$7:$B$1006,"&lt;="&amp;$A23)</f>
        <v>400</v>
      </c>
      <c r="G23" s="1">
        <f>SUMIFS(Ledger!$J$7:$J$1006,Ledger!$C$7:$C$1006,Portfolio!$C$5,Ledger!$E$7:$E$1006,History!G$6,Ledger!$B$7:$B$1006,"&lt;="&amp;$A23)</f>
        <v>600</v>
      </c>
      <c r="H23" s="8">
        <f>SUMIFS(Ledger!$K$7:$K$1006,Ledger!$C$7:$C$1006,Portfolio!$C$5,Ledger!$B$7:$B$1006,"&lt;="&amp;$A23)</f>
        <v>38920</v>
      </c>
      <c r="I23" s="8">
        <f>IF(S23=6,SUMPRODUCT(B23:G23,History!B23:G23),NA())</f>
        <v>459471.73800000001</v>
      </c>
      <c r="J23" s="8">
        <f t="shared" si="0"/>
        <v>498391.73800000001</v>
      </c>
      <c r="K23" s="8">
        <f>SUMIFS(Ledger!$L$7:$L$1006,Ledger!$C$7:$C$1006,Portfolio!$C$5,Ledger!$B$7:$B$1006,$A23)</f>
        <v>0</v>
      </c>
      <c r="L23" s="10">
        <f>IF(A23&lt;Holdings!$G$24,"",IF(A23=Holdings!$G$24,IF(K23&gt;0,J23/K23-1,NA()),IF(J22&gt;0,(J23-K23)/J22-1,NA())))</f>
        <v>3.2238702735474245E-3</v>
      </c>
      <c r="M23" s="11">
        <f>IF(A23&lt;Holdings!$G$24,"",IF(A23=Holdings!$G$24,100*(1+L23),M22*(1+L23)))</f>
        <v>99.678347600000009</v>
      </c>
      <c r="N23" s="11">
        <f>IF(A23&lt;Holdings!$G$24,"",IF(A23=Holdings!$G$24,MAX(100,M23),MAX(N22,M23)))</f>
        <v>101.59037800000002</v>
      </c>
      <c r="O23" s="10">
        <f>IF(A23&lt;Holdings!$G$24,"",M23/N23-1)</f>
        <v>-1.8820979286050199E-2</v>
      </c>
      <c r="P23" s="11">
        <f>IF(A23&lt;Holdings!$G$24,"",IF(History!H23&gt;0,History!H23/INDEX(History!$H$7:$H$136,MATCH(Holdings!$G$24,History!$A$7:$A$136,0))*100,NA()))</f>
        <v>98.365432999999996</v>
      </c>
      <c r="Q23" s="10">
        <f>IF(A23&lt;=Holdings!$G$24,"",P23/P22-1)</f>
        <v>4.0555130780193238E-3</v>
      </c>
      <c r="R23" s="8">
        <f>IF(A23&gt;Portfolio!$J$5,0,-K23+IF(A23=Portfolio!$J$5,J23,0))</f>
        <v>0</v>
      </c>
      <c r="S23" s="1">
        <f>COUNTIFS(History!B23:G23,"&gt;0")</f>
        <v>6</v>
      </c>
      <c r="T23" s="1" t="str">
        <f t="shared" si="1"/>
        <v>14-Apr</v>
      </c>
      <c r="U23" s="10">
        <f>IF(AND(A23&lt;=Portfolio!$J$5,A23&gt;=Holdings!$G$24),O23,0)</f>
        <v>-1.8820979286050199E-2</v>
      </c>
      <c r="V23" s="12">
        <f>IF(AND(A23&gt;Holdings!$G$24,A23&lt;=Portfolio!$J$5),L23,"")</f>
        <v>3.2238702735474245E-3</v>
      </c>
      <c r="W23" s="12">
        <f>IF(AND(A23&gt;Holdings!$G$24,A23&lt;=Portfolio!$J$5),Q23,"")</f>
        <v>4.0555130780193238E-3</v>
      </c>
    </row>
    <row r="24" spans="1:23" ht="19.95" customHeight="1" x14ac:dyDescent="0.3">
      <c r="A24" s="7">
        <v>46127</v>
      </c>
      <c r="B24" s="1">
        <f>SUMIFS(Ledger!$J$7:$J$1006,Ledger!$C$7:$C$1006,Portfolio!$C$5,Ledger!$E$7:$E$1006,History!B$6,Ledger!$B$7:$B$1006,"&lt;="&amp;$A24)</f>
        <v>80</v>
      </c>
      <c r="C24" s="1">
        <f>SUMIFS(Ledger!$J$7:$J$1006,Ledger!$C$7:$C$1006,Portfolio!$C$5,Ledger!$E$7:$E$1006,History!C$6,Ledger!$B$7:$B$1006,"&lt;="&amp;$A24)</f>
        <v>100</v>
      </c>
      <c r="D24" s="1">
        <f>SUMIFS(Ledger!$J$7:$J$1006,Ledger!$C$7:$C$1006,Portfolio!$C$5,Ledger!$E$7:$E$1006,History!D$6,Ledger!$B$7:$B$1006,"&lt;="&amp;$A24)</f>
        <v>70</v>
      </c>
      <c r="E24" s="1">
        <f>SUMIFS(Ledger!$J$7:$J$1006,Ledger!$C$7:$C$1006,Portfolio!$C$5,Ledger!$E$7:$E$1006,History!E$6,Ledger!$B$7:$B$1006,"&lt;="&amp;$A24)</f>
        <v>180</v>
      </c>
      <c r="F24" s="1">
        <f>SUMIFS(Ledger!$J$7:$J$1006,Ledger!$C$7:$C$1006,Portfolio!$C$5,Ledger!$E$7:$E$1006,History!F$6,Ledger!$B$7:$B$1006,"&lt;="&amp;$A24)</f>
        <v>400</v>
      </c>
      <c r="G24" s="1">
        <f>SUMIFS(Ledger!$J$7:$J$1006,Ledger!$C$7:$C$1006,Portfolio!$C$5,Ledger!$E$7:$E$1006,History!G$6,Ledger!$B$7:$B$1006,"&lt;="&amp;$A24)</f>
        <v>600</v>
      </c>
      <c r="H24" s="8">
        <f>SUMIFS(Ledger!$K$7:$K$1006,Ledger!$C$7:$C$1006,Portfolio!$C$5,Ledger!$B$7:$B$1006,"&lt;="&amp;$A24)</f>
        <v>38920</v>
      </c>
      <c r="I24" s="8">
        <f>IF(S24=6,SUMPRODUCT(B24:G24,History!B24:G24),NA())</f>
        <v>456794.027</v>
      </c>
      <c r="J24" s="8">
        <f t="shared" si="0"/>
        <v>495714.027</v>
      </c>
      <c r="K24" s="8">
        <f>SUMIFS(Ledger!$L$7:$L$1006,Ledger!$C$7:$C$1006,Portfolio!$C$5,Ledger!$B$7:$B$1006,$A24)</f>
        <v>0</v>
      </c>
      <c r="L24" s="10">
        <f>IF(A24&lt;Holdings!$G$24,"",IF(A24=Holdings!$G$24,IF(K24&gt;0,J24/K24-1,NA()),IF(J23&gt;0,(J24-K24)/J23-1,NA())))</f>
        <v>-5.3727034295260045E-3</v>
      </c>
      <c r="M24" s="11">
        <f>IF(A24&lt;Holdings!$G$24,"",IF(A24=Holdings!$G$24,100*(1+L24),M23*(1+L24)))</f>
        <v>99.1428054</v>
      </c>
      <c r="N24" s="11">
        <f>IF(A24&lt;Holdings!$G$24,"",IF(A24=Holdings!$G$24,MAX(100,M24),MAX(N23,M24)))</f>
        <v>101.59037800000002</v>
      </c>
      <c r="O24" s="10">
        <f>IF(A24&lt;Holdings!$G$24,"",M24/N24-1)</f>
        <v>-2.4092563175619031E-2</v>
      </c>
      <c r="P24" s="11">
        <f>IF(A24&lt;Holdings!$G$24,"",IF(History!H24&gt;0,History!H24/INDEX(History!$H$7:$H$136,MATCH(Holdings!$G$24,History!$A$7:$A$136,0))*100,NA()))</f>
        <v>98.474649299999996</v>
      </c>
      <c r="Q24" s="10">
        <f>IF(A24&lt;=Holdings!$G$24,"",P24/P23-1)</f>
        <v>1.1103117901183346E-3</v>
      </c>
      <c r="R24" s="8">
        <f>IF(A24&gt;Portfolio!$J$5,0,-K24+IF(A24=Portfolio!$J$5,J24,0))</f>
        <v>0</v>
      </c>
      <c r="S24" s="1">
        <f>COUNTIFS(History!B24:G24,"&gt;0")</f>
        <v>6</v>
      </c>
      <c r="T24" s="1" t="str">
        <f t="shared" si="1"/>
        <v>15-Apr</v>
      </c>
      <c r="U24" s="10">
        <f>IF(AND(A24&lt;=Portfolio!$J$5,A24&gt;=Holdings!$G$24),O24,0)</f>
        <v>-2.4092563175619031E-2</v>
      </c>
      <c r="V24" s="12">
        <f>IF(AND(A24&gt;Holdings!$G$24,A24&lt;=Portfolio!$J$5),L24,"")</f>
        <v>-5.3727034295260045E-3</v>
      </c>
      <c r="W24" s="12">
        <f>IF(AND(A24&gt;Holdings!$G$24,A24&lt;=Portfolio!$J$5),Q24,"")</f>
        <v>1.1103117901183346E-3</v>
      </c>
    </row>
    <row r="25" spans="1:23" ht="19.95" customHeight="1" x14ac:dyDescent="0.3">
      <c r="A25" s="7">
        <v>46128</v>
      </c>
      <c r="B25" s="1">
        <f>SUMIFS(Ledger!$J$7:$J$1006,Ledger!$C$7:$C$1006,Portfolio!$C$5,Ledger!$E$7:$E$1006,History!B$6,Ledger!$B$7:$B$1006,"&lt;="&amp;$A25)</f>
        <v>80</v>
      </c>
      <c r="C25" s="1">
        <f>SUMIFS(Ledger!$J$7:$J$1006,Ledger!$C$7:$C$1006,Portfolio!$C$5,Ledger!$E$7:$E$1006,History!C$6,Ledger!$B$7:$B$1006,"&lt;="&amp;$A25)</f>
        <v>100</v>
      </c>
      <c r="D25" s="1">
        <f>SUMIFS(Ledger!$J$7:$J$1006,Ledger!$C$7:$C$1006,Portfolio!$C$5,Ledger!$E$7:$E$1006,History!D$6,Ledger!$B$7:$B$1006,"&lt;="&amp;$A25)</f>
        <v>70</v>
      </c>
      <c r="E25" s="1">
        <f>SUMIFS(Ledger!$J$7:$J$1006,Ledger!$C$7:$C$1006,Portfolio!$C$5,Ledger!$E$7:$E$1006,History!E$6,Ledger!$B$7:$B$1006,"&lt;="&amp;$A25)</f>
        <v>180</v>
      </c>
      <c r="F25" s="1">
        <f>SUMIFS(Ledger!$J$7:$J$1006,Ledger!$C$7:$C$1006,Portfolio!$C$5,Ledger!$E$7:$E$1006,History!F$6,Ledger!$B$7:$B$1006,"&lt;="&amp;$A25)</f>
        <v>400</v>
      </c>
      <c r="G25" s="1">
        <f>SUMIFS(Ledger!$J$7:$J$1006,Ledger!$C$7:$C$1006,Portfolio!$C$5,Ledger!$E$7:$E$1006,History!G$6,Ledger!$B$7:$B$1006,"&lt;="&amp;$A25)</f>
        <v>600</v>
      </c>
      <c r="H25" s="8">
        <f>SUMIFS(Ledger!$K$7:$K$1006,Ledger!$C$7:$C$1006,Portfolio!$C$5,Ledger!$B$7:$B$1006,"&lt;="&amp;$A25)</f>
        <v>38920</v>
      </c>
      <c r="I25" s="8">
        <f>IF(S25=6,SUMPRODUCT(B25:G25,History!B25:G25),NA())</f>
        <v>460311.90299999999</v>
      </c>
      <c r="J25" s="8">
        <f t="shared" si="0"/>
        <v>499231.90299999999</v>
      </c>
      <c r="K25" s="8">
        <f>SUMIFS(Ledger!$L$7:$L$1006,Ledger!$C$7:$C$1006,Portfolio!$C$5,Ledger!$B$7:$B$1006,$A25)</f>
        <v>0</v>
      </c>
      <c r="L25" s="10">
        <f>IF(A25&lt;Holdings!$G$24,"",IF(A25=Holdings!$G$24,IF(K25&gt;0,J25/K25-1,NA()),IF(J24&gt;0,(J25-K25)/J24-1,NA())))</f>
        <v>7.0965835308105518E-3</v>
      </c>
      <c r="M25" s="11">
        <f>IF(A25&lt;Holdings!$G$24,"",IF(A25=Holdings!$G$24,100*(1+L25),M24*(1+L25)))</f>
        <v>99.846380599999989</v>
      </c>
      <c r="N25" s="11">
        <f>IF(A25&lt;Holdings!$G$24,"",IF(A25=Holdings!$G$24,MAX(100,M25),MAX(N24,M25)))</f>
        <v>101.59037800000002</v>
      </c>
      <c r="O25" s="10">
        <f>IF(A25&lt;Holdings!$G$24,"",M25/N25-1)</f>
        <v>-1.7166954531855572E-2</v>
      </c>
      <c r="P25" s="11">
        <f>IF(A25&lt;Holdings!$G$24,"",IF(History!H25&gt;0,History!H25/INDEX(History!$H$7:$H$136,MATCH(Holdings!$G$24,History!$A$7:$A$136,0))*100,NA()))</f>
        <v>98.754352300000008</v>
      </c>
      <c r="Q25" s="10">
        <f>IF(A25&lt;=Holdings!$G$24,"",P25/P24-1)</f>
        <v>2.840355380681947E-3</v>
      </c>
      <c r="R25" s="8">
        <f>IF(A25&gt;Portfolio!$J$5,0,-K25+IF(A25=Portfolio!$J$5,J25,0))</f>
        <v>0</v>
      </c>
      <c r="S25" s="1">
        <f>COUNTIFS(History!B25:G25,"&gt;0")</f>
        <v>6</v>
      </c>
      <c r="T25" s="1" t="str">
        <f t="shared" si="1"/>
        <v>16-Apr</v>
      </c>
      <c r="U25" s="10">
        <f>IF(AND(A25&lt;=Portfolio!$J$5,A25&gt;=Holdings!$G$24),O25,0)</f>
        <v>-1.7166954531855572E-2</v>
      </c>
      <c r="V25" s="12">
        <f>IF(AND(A25&gt;Holdings!$G$24,A25&lt;=Portfolio!$J$5),L25,"")</f>
        <v>7.0965835308105518E-3</v>
      </c>
      <c r="W25" s="12">
        <f>IF(AND(A25&gt;Holdings!$G$24,A25&lt;=Portfolio!$J$5),Q25,"")</f>
        <v>2.840355380681947E-3</v>
      </c>
    </row>
    <row r="26" spans="1:23" ht="19.95" customHeight="1" x14ac:dyDescent="0.3">
      <c r="A26" s="7">
        <v>46129</v>
      </c>
      <c r="B26" s="1">
        <f>SUMIFS(Ledger!$J$7:$J$1006,Ledger!$C$7:$C$1006,Portfolio!$C$5,Ledger!$E$7:$E$1006,History!B$6,Ledger!$B$7:$B$1006,"&lt;="&amp;$A26)</f>
        <v>80</v>
      </c>
      <c r="C26" s="1">
        <f>SUMIFS(Ledger!$J$7:$J$1006,Ledger!$C$7:$C$1006,Portfolio!$C$5,Ledger!$E$7:$E$1006,History!C$6,Ledger!$B$7:$B$1006,"&lt;="&amp;$A26)</f>
        <v>100</v>
      </c>
      <c r="D26" s="1">
        <f>SUMIFS(Ledger!$J$7:$J$1006,Ledger!$C$7:$C$1006,Portfolio!$C$5,Ledger!$E$7:$E$1006,History!D$6,Ledger!$B$7:$B$1006,"&lt;="&amp;$A26)</f>
        <v>70</v>
      </c>
      <c r="E26" s="1">
        <f>SUMIFS(Ledger!$J$7:$J$1006,Ledger!$C$7:$C$1006,Portfolio!$C$5,Ledger!$E$7:$E$1006,History!E$6,Ledger!$B$7:$B$1006,"&lt;="&amp;$A26)</f>
        <v>180</v>
      </c>
      <c r="F26" s="1">
        <f>SUMIFS(Ledger!$J$7:$J$1006,Ledger!$C$7:$C$1006,Portfolio!$C$5,Ledger!$E$7:$E$1006,History!F$6,Ledger!$B$7:$B$1006,"&lt;="&amp;$A26)</f>
        <v>400</v>
      </c>
      <c r="G26" s="1">
        <f>SUMIFS(Ledger!$J$7:$J$1006,Ledger!$C$7:$C$1006,Portfolio!$C$5,Ledger!$E$7:$E$1006,History!G$6,Ledger!$B$7:$B$1006,"&lt;="&amp;$A26)</f>
        <v>600</v>
      </c>
      <c r="H26" s="8">
        <f>SUMIFS(Ledger!$K$7:$K$1006,Ledger!$C$7:$C$1006,Portfolio!$C$5,Ledger!$B$7:$B$1006,"&lt;="&amp;$A26)</f>
        <v>38920</v>
      </c>
      <c r="I26" s="8">
        <f>IF(S26=6,SUMPRODUCT(B26:G26,History!B26:G26),NA())</f>
        <v>459868.734</v>
      </c>
      <c r="J26" s="8">
        <f t="shared" si="0"/>
        <v>498788.734</v>
      </c>
      <c r="K26" s="8">
        <f>SUMIFS(Ledger!$L$7:$L$1006,Ledger!$C$7:$C$1006,Portfolio!$C$5,Ledger!$B$7:$B$1006,$A26)</f>
        <v>0</v>
      </c>
      <c r="L26" s="10">
        <f>IF(A26&lt;Holdings!$G$24,"",IF(A26=Holdings!$G$24,IF(K26&gt;0,J26/K26-1,NA()),IF(J25&gt;0,(J26-K26)/J25-1,NA())))</f>
        <v>-8.8770168199769905E-4</v>
      </c>
      <c r="M26" s="11">
        <f>IF(A26&lt;Holdings!$G$24,"",IF(A26=Holdings!$G$24,100*(1+L26),M25*(1+L26)))</f>
        <v>99.757746799999993</v>
      </c>
      <c r="N26" s="11">
        <f>IF(A26&lt;Holdings!$G$24,"",IF(A26=Holdings!$G$24,MAX(100,M26),MAX(N25,M26)))</f>
        <v>101.59037800000002</v>
      </c>
      <c r="O26" s="10">
        <f>IF(A26&lt;Holdings!$G$24,"",M26/N26-1)</f>
        <v>-1.8039417079440567E-2</v>
      </c>
      <c r="P26" s="11">
        <f>IF(A26&lt;Holdings!$G$24,"",IF(History!H26&gt;0,History!H26/INDEX(History!$H$7:$H$136,MATCH(Holdings!$G$24,History!$A$7:$A$136,0))*100,NA()))</f>
        <v>98.854471999999987</v>
      </c>
      <c r="Q26" s="10">
        <f>IF(A26&lt;=Holdings!$G$24,"",P26/P25-1)</f>
        <v>1.0138256964697945E-3</v>
      </c>
      <c r="R26" s="8">
        <f>IF(A26&gt;Portfolio!$J$5,0,-K26+IF(A26=Portfolio!$J$5,J26,0))</f>
        <v>0</v>
      </c>
      <c r="S26" s="1">
        <f>COUNTIFS(History!B26:G26,"&gt;0")</f>
        <v>6</v>
      </c>
      <c r="T26" s="1" t="str">
        <f t="shared" si="1"/>
        <v>17-Apr</v>
      </c>
      <c r="U26" s="10">
        <f>IF(AND(A26&lt;=Portfolio!$J$5,A26&gt;=Holdings!$G$24),O26,0)</f>
        <v>-1.8039417079440567E-2</v>
      </c>
      <c r="V26" s="12">
        <f>IF(AND(A26&gt;Holdings!$G$24,A26&lt;=Portfolio!$J$5),L26,"")</f>
        <v>-8.8770168199769905E-4</v>
      </c>
      <c r="W26" s="12">
        <f>IF(AND(A26&gt;Holdings!$G$24,A26&lt;=Portfolio!$J$5),Q26,"")</f>
        <v>1.0138256964697945E-3</v>
      </c>
    </row>
    <row r="27" spans="1:23" ht="19.95" customHeight="1" x14ac:dyDescent="0.3">
      <c r="A27" s="7">
        <v>46132</v>
      </c>
      <c r="B27" s="1">
        <f>SUMIFS(Ledger!$J$7:$J$1006,Ledger!$C$7:$C$1006,Portfolio!$C$5,Ledger!$E$7:$E$1006,History!B$6,Ledger!$B$7:$B$1006,"&lt;="&amp;$A27)</f>
        <v>80</v>
      </c>
      <c r="C27" s="1">
        <f>SUMIFS(Ledger!$J$7:$J$1006,Ledger!$C$7:$C$1006,Portfolio!$C$5,Ledger!$E$7:$E$1006,History!C$6,Ledger!$B$7:$B$1006,"&lt;="&amp;$A27)</f>
        <v>100</v>
      </c>
      <c r="D27" s="1">
        <f>SUMIFS(Ledger!$J$7:$J$1006,Ledger!$C$7:$C$1006,Portfolio!$C$5,Ledger!$E$7:$E$1006,History!D$6,Ledger!$B$7:$B$1006,"&lt;="&amp;$A27)</f>
        <v>70</v>
      </c>
      <c r="E27" s="1">
        <f>SUMIFS(Ledger!$J$7:$J$1006,Ledger!$C$7:$C$1006,Portfolio!$C$5,Ledger!$E$7:$E$1006,History!E$6,Ledger!$B$7:$B$1006,"&lt;="&amp;$A27)</f>
        <v>180</v>
      </c>
      <c r="F27" s="1">
        <f>SUMIFS(Ledger!$J$7:$J$1006,Ledger!$C$7:$C$1006,Portfolio!$C$5,Ledger!$E$7:$E$1006,History!F$6,Ledger!$B$7:$B$1006,"&lt;="&amp;$A27)</f>
        <v>400</v>
      </c>
      <c r="G27" s="1">
        <f>SUMIFS(Ledger!$J$7:$J$1006,Ledger!$C$7:$C$1006,Portfolio!$C$5,Ledger!$E$7:$E$1006,History!G$6,Ledger!$B$7:$B$1006,"&lt;="&amp;$A27)</f>
        <v>600</v>
      </c>
      <c r="H27" s="8">
        <f>SUMIFS(Ledger!$K$7:$K$1006,Ledger!$C$7:$C$1006,Portfolio!$C$5,Ledger!$B$7:$B$1006,"&lt;="&amp;$A27)</f>
        <v>38920</v>
      </c>
      <c r="I27" s="8">
        <f>IF(S27=6,SUMPRODUCT(B27:G27,History!B27:G27),NA())</f>
        <v>455398.95799999993</v>
      </c>
      <c r="J27" s="8">
        <f t="shared" si="0"/>
        <v>494318.95799999993</v>
      </c>
      <c r="K27" s="8">
        <f>SUMIFS(Ledger!$L$7:$L$1006,Ledger!$C$7:$C$1006,Portfolio!$C$5,Ledger!$B$7:$B$1006,$A27)</f>
        <v>0</v>
      </c>
      <c r="L27" s="10">
        <f>IF(A27&lt;Holdings!$G$24,"",IF(A27=Holdings!$G$24,IF(K27&gt;0,J27/K27-1,NA()),IF(J26&gt;0,(J27-K27)/J26-1,NA())))</f>
        <v>-8.9612609413910471E-3</v>
      </c>
      <c r="M27" s="11">
        <f>IF(A27&lt;Holdings!$G$24,"",IF(A27=Holdings!$G$24,100*(1+L27),M26*(1+L27)))</f>
        <v>98.863791599999971</v>
      </c>
      <c r="N27" s="11">
        <f>IF(A27&lt;Holdings!$G$24,"",IF(A27=Holdings!$G$24,MAX(100,M27),MAX(N26,M27)))</f>
        <v>101.59037800000002</v>
      </c>
      <c r="O27" s="10">
        <f>IF(A27&lt;Holdings!$G$24,"",M27/N27-1)</f>
        <v>-2.6839022097152165E-2</v>
      </c>
      <c r="P27" s="11">
        <f>IF(A27&lt;Holdings!$G$24,"",IF(History!H27&gt;0,History!H27/INDEX(History!$H$7:$H$136,MATCH(Holdings!$G$24,History!$A$7:$A$136,0))*100,NA()))</f>
        <v>97.784281100000001</v>
      </c>
      <c r="Q27" s="10">
        <f>IF(A27&lt;=Holdings!$G$24,"",P27/P26-1)</f>
        <v>-1.082592297898255E-2</v>
      </c>
      <c r="R27" s="8">
        <f>IF(A27&gt;Portfolio!$J$5,0,-K27+IF(A27=Portfolio!$J$5,J27,0))</f>
        <v>0</v>
      </c>
      <c r="S27" s="1">
        <f>COUNTIFS(History!B27:G27,"&gt;0")</f>
        <v>6</v>
      </c>
      <c r="T27" s="1" t="str">
        <f t="shared" si="1"/>
        <v>20-Apr</v>
      </c>
      <c r="U27" s="10">
        <f>IF(AND(A27&lt;=Portfolio!$J$5,A27&gt;=Holdings!$G$24),O27,0)</f>
        <v>-2.6839022097152165E-2</v>
      </c>
      <c r="V27" s="12">
        <f>IF(AND(A27&gt;Holdings!$G$24,A27&lt;=Portfolio!$J$5),L27,"")</f>
        <v>-8.9612609413910471E-3</v>
      </c>
      <c r="W27" s="12">
        <f>IF(AND(A27&gt;Holdings!$G$24,A27&lt;=Portfolio!$J$5),Q27,"")</f>
        <v>-1.082592297898255E-2</v>
      </c>
    </row>
    <row r="28" spans="1:23" ht="19.95" customHeight="1" x14ac:dyDescent="0.3">
      <c r="A28" s="7">
        <v>46133</v>
      </c>
      <c r="B28" s="1">
        <f>SUMIFS(Ledger!$J$7:$J$1006,Ledger!$C$7:$C$1006,Portfolio!$C$5,Ledger!$E$7:$E$1006,History!B$6,Ledger!$B$7:$B$1006,"&lt;="&amp;$A28)</f>
        <v>80</v>
      </c>
      <c r="C28" s="1">
        <f>SUMIFS(Ledger!$J$7:$J$1006,Ledger!$C$7:$C$1006,Portfolio!$C$5,Ledger!$E$7:$E$1006,History!C$6,Ledger!$B$7:$B$1006,"&lt;="&amp;$A28)</f>
        <v>100</v>
      </c>
      <c r="D28" s="1">
        <f>SUMIFS(Ledger!$J$7:$J$1006,Ledger!$C$7:$C$1006,Portfolio!$C$5,Ledger!$E$7:$E$1006,History!D$6,Ledger!$B$7:$B$1006,"&lt;="&amp;$A28)</f>
        <v>70</v>
      </c>
      <c r="E28" s="1">
        <f>SUMIFS(Ledger!$J$7:$J$1006,Ledger!$C$7:$C$1006,Portfolio!$C$5,Ledger!$E$7:$E$1006,History!E$6,Ledger!$B$7:$B$1006,"&lt;="&amp;$A28)</f>
        <v>180</v>
      </c>
      <c r="F28" s="1">
        <f>SUMIFS(Ledger!$J$7:$J$1006,Ledger!$C$7:$C$1006,Portfolio!$C$5,Ledger!$E$7:$E$1006,History!F$6,Ledger!$B$7:$B$1006,"&lt;="&amp;$A28)</f>
        <v>400</v>
      </c>
      <c r="G28" s="1">
        <f>SUMIFS(Ledger!$J$7:$J$1006,Ledger!$C$7:$C$1006,Portfolio!$C$5,Ledger!$E$7:$E$1006,History!G$6,Ledger!$B$7:$B$1006,"&lt;="&amp;$A28)</f>
        <v>600</v>
      </c>
      <c r="H28" s="8">
        <f>SUMIFS(Ledger!$K$7:$K$1006,Ledger!$C$7:$C$1006,Portfolio!$C$5,Ledger!$B$7:$B$1006,"&lt;="&amp;$A28)</f>
        <v>38920</v>
      </c>
      <c r="I28" s="8">
        <f>IF(S28=6,SUMPRODUCT(B28:G28,History!B28:G28),NA())</f>
        <v>456509.73300000001</v>
      </c>
      <c r="J28" s="8">
        <f t="shared" si="0"/>
        <v>495429.73300000001</v>
      </c>
      <c r="K28" s="8">
        <f>SUMIFS(Ledger!$L$7:$L$1006,Ledger!$C$7:$C$1006,Portfolio!$C$5,Ledger!$B$7:$B$1006,$A28)</f>
        <v>0</v>
      </c>
      <c r="L28" s="10">
        <f>IF(A28&lt;Holdings!$G$24,"",IF(A28=Holdings!$G$24,IF(K28&gt;0,J28/K28-1,NA()),IF(J27&gt;0,(J28-K28)/J27-1,NA())))</f>
        <v>2.2470815290884794E-3</v>
      </c>
      <c r="M28" s="11">
        <f>IF(A28&lt;Holdings!$G$24,"",IF(A28=Holdings!$G$24,100*(1+L28),M27*(1+L28)))</f>
        <v>99.085946599999986</v>
      </c>
      <c r="N28" s="11">
        <f>IF(A28&lt;Holdings!$G$24,"",IF(A28=Holdings!$G$24,MAX(100,M28),MAX(N27,M28)))</f>
        <v>101.59037800000002</v>
      </c>
      <c r="O28" s="10">
        <f>IF(A28&lt;Holdings!$G$24,"",M28/N28-1)</f>
        <v>-2.4652250038877055E-2</v>
      </c>
      <c r="P28" s="11">
        <f>IF(A28&lt;Holdings!$G$24,"",IF(History!H28&gt;0,History!H28/INDEX(History!$H$7:$H$136,MATCH(Holdings!$G$24,History!$A$7:$A$136,0))*100,NA()))</f>
        <v>97.830248699999999</v>
      </c>
      <c r="Q28" s="10">
        <f>IF(A28&lt;=Holdings!$G$24,"",P28/P27-1)</f>
        <v>4.7009191541724782E-4</v>
      </c>
      <c r="R28" s="8">
        <f>IF(A28&gt;Portfolio!$J$5,0,-K28+IF(A28=Portfolio!$J$5,J28,0))</f>
        <v>0</v>
      </c>
      <c r="S28" s="1">
        <f>COUNTIFS(History!B28:G28,"&gt;0")</f>
        <v>6</v>
      </c>
      <c r="T28" s="1" t="str">
        <f t="shared" si="1"/>
        <v>21-Apr</v>
      </c>
      <c r="U28" s="10">
        <f>IF(AND(A28&lt;=Portfolio!$J$5,A28&gt;=Holdings!$G$24),O28,0)</f>
        <v>-2.4652250038877055E-2</v>
      </c>
      <c r="V28" s="12">
        <f>IF(AND(A28&gt;Holdings!$G$24,A28&lt;=Portfolio!$J$5),L28,"")</f>
        <v>2.2470815290884794E-3</v>
      </c>
      <c r="W28" s="12">
        <f>IF(AND(A28&gt;Holdings!$G$24,A28&lt;=Portfolio!$J$5),Q28,"")</f>
        <v>4.7009191541724782E-4</v>
      </c>
    </row>
    <row r="29" spans="1:23" ht="19.95" customHeight="1" x14ac:dyDescent="0.3">
      <c r="A29" s="7">
        <v>46134</v>
      </c>
      <c r="B29" s="1">
        <f>SUMIFS(Ledger!$J$7:$J$1006,Ledger!$C$7:$C$1006,Portfolio!$C$5,Ledger!$E$7:$E$1006,History!B$6,Ledger!$B$7:$B$1006,"&lt;="&amp;$A29)</f>
        <v>80</v>
      </c>
      <c r="C29" s="1">
        <f>SUMIFS(Ledger!$J$7:$J$1006,Ledger!$C$7:$C$1006,Portfolio!$C$5,Ledger!$E$7:$E$1006,History!C$6,Ledger!$B$7:$B$1006,"&lt;="&amp;$A29)</f>
        <v>100</v>
      </c>
      <c r="D29" s="1">
        <f>SUMIFS(Ledger!$J$7:$J$1006,Ledger!$C$7:$C$1006,Portfolio!$C$5,Ledger!$E$7:$E$1006,History!D$6,Ledger!$B$7:$B$1006,"&lt;="&amp;$A29)</f>
        <v>70</v>
      </c>
      <c r="E29" s="1">
        <f>SUMIFS(Ledger!$J$7:$J$1006,Ledger!$C$7:$C$1006,Portfolio!$C$5,Ledger!$E$7:$E$1006,History!E$6,Ledger!$B$7:$B$1006,"&lt;="&amp;$A29)</f>
        <v>180</v>
      </c>
      <c r="F29" s="1">
        <f>SUMIFS(Ledger!$J$7:$J$1006,Ledger!$C$7:$C$1006,Portfolio!$C$5,Ledger!$E$7:$E$1006,History!F$6,Ledger!$B$7:$B$1006,"&lt;="&amp;$A29)</f>
        <v>400</v>
      </c>
      <c r="G29" s="1">
        <f>SUMIFS(Ledger!$J$7:$J$1006,Ledger!$C$7:$C$1006,Portfolio!$C$5,Ledger!$E$7:$E$1006,History!G$6,Ledger!$B$7:$B$1006,"&lt;="&amp;$A29)</f>
        <v>600</v>
      </c>
      <c r="H29" s="8">
        <f>SUMIFS(Ledger!$K$7:$K$1006,Ledger!$C$7:$C$1006,Portfolio!$C$5,Ledger!$B$7:$B$1006,"&lt;="&amp;$A29)</f>
        <v>38920</v>
      </c>
      <c r="I29" s="8">
        <f>IF(S29=6,SUMPRODUCT(B29:G29,History!B29:G29),NA())</f>
        <v>456534.58199999999</v>
      </c>
      <c r="J29" s="8">
        <f t="shared" si="0"/>
        <v>495454.58199999999</v>
      </c>
      <c r="K29" s="8">
        <f>SUMIFS(Ledger!$L$7:$L$1006,Ledger!$C$7:$C$1006,Portfolio!$C$5,Ledger!$B$7:$B$1006,$A29)</f>
        <v>0</v>
      </c>
      <c r="L29" s="10">
        <f>IF(A29&lt;Holdings!$G$24,"",IF(A29=Holdings!$G$24,IF(K29&gt;0,J29/K29-1,NA()),IF(J28&gt;0,(J29-K29)/J28-1,NA())))</f>
        <v>5.0156456798733373E-5</v>
      </c>
      <c r="M29" s="11">
        <f>IF(A29&lt;Holdings!$G$24,"",IF(A29=Holdings!$G$24,100*(1+L29),M28*(1+L29)))</f>
        <v>99.090916399999983</v>
      </c>
      <c r="N29" s="11">
        <f>IF(A29&lt;Holdings!$G$24,"",IF(A29=Holdings!$G$24,MAX(100,M29),MAX(N28,M29)))</f>
        <v>101.59037800000002</v>
      </c>
      <c r="O29" s="10">
        <f>IF(A29&lt;Holdings!$G$24,"",M29/N29-1)</f>
        <v>-2.4603330051592431E-2</v>
      </c>
      <c r="P29" s="11">
        <f>IF(A29&lt;Holdings!$G$24,"",IF(History!H29&gt;0,History!H29/INDEX(History!$H$7:$H$136,MATCH(Holdings!$G$24,History!$A$7:$A$136,0))*100,NA()))</f>
        <v>97.478268799999995</v>
      </c>
      <c r="Q29" s="10">
        <f>IF(A29&lt;=Holdings!$G$24,"",P29/P28-1)</f>
        <v>-3.5978636942788356E-3</v>
      </c>
      <c r="R29" s="8">
        <f>IF(A29&gt;Portfolio!$J$5,0,-K29+IF(A29=Portfolio!$J$5,J29,0))</f>
        <v>0</v>
      </c>
      <c r="S29" s="1">
        <f>COUNTIFS(History!B29:G29,"&gt;0")</f>
        <v>6</v>
      </c>
      <c r="T29" s="1" t="str">
        <f t="shared" si="1"/>
        <v>22-Apr</v>
      </c>
      <c r="U29" s="10">
        <f>IF(AND(A29&lt;=Portfolio!$J$5,A29&gt;=Holdings!$G$24),O29,0)</f>
        <v>-2.4603330051592431E-2</v>
      </c>
      <c r="V29" s="12">
        <f>IF(AND(A29&gt;Holdings!$G$24,A29&lt;=Portfolio!$J$5),L29,"")</f>
        <v>5.0156456798733373E-5</v>
      </c>
      <c r="W29" s="12">
        <f>IF(AND(A29&gt;Holdings!$G$24,A29&lt;=Portfolio!$J$5),Q29,"")</f>
        <v>-3.5978636942788356E-3</v>
      </c>
    </row>
    <row r="30" spans="1:23" ht="19.95" customHeight="1" x14ac:dyDescent="0.3">
      <c r="A30" s="7">
        <v>46135</v>
      </c>
      <c r="B30" s="1">
        <f>SUMIFS(Ledger!$J$7:$J$1006,Ledger!$C$7:$C$1006,Portfolio!$C$5,Ledger!$E$7:$E$1006,History!B$6,Ledger!$B$7:$B$1006,"&lt;="&amp;$A30)</f>
        <v>80</v>
      </c>
      <c r="C30" s="1">
        <f>SUMIFS(Ledger!$J$7:$J$1006,Ledger!$C$7:$C$1006,Portfolio!$C$5,Ledger!$E$7:$E$1006,History!C$6,Ledger!$B$7:$B$1006,"&lt;="&amp;$A30)</f>
        <v>100</v>
      </c>
      <c r="D30" s="1">
        <f>SUMIFS(Ledger!$J$7:$J$1006,Ledger!$C$7:$C$1006,Portfolio!$C$5,Ledger!$E$7:$E$1006,History!D$6,Ledger!$B$7:$B$1006,"&lt;="&amp;$A30)</f>
        <v>70</v>
      </c>
      <c r="E30" s="1">
        <f>SUMIFS(Ledger!$J$7:$J$1006,Ledger!$C$7:$C$1006,Portfolio!$C$5,Ledger!$E$7:$E$1006,History!E$6,Ledger!$B$7:$B$1006,"&lt;="&amp;$A30)</f>
        <v>180</v>
      </c>
      <c r="F30" s="1">
        <f>SUMIFS(Ledger!$J$7:$J$1006,Ledger!$C$7:$C$1006,Portfolio!$C$5,Ledger!$E$7:$E$1006,History!F$6,Ledger!$B$7:$B$1006,"&lt;="&amp;$A30)</f>
        <v>400</v>
      </c>
      <c r="G30" s="1">
        <f>SUMIFS(Ledger!$J$7:$J$1006,Ledger!$C$7:$C$1006,Portfolio!$C$5,Ledger!$E$7:$E$1006,History!G$6,Ledger!$B$7:$B$1006,"&lt;="&amp;$A30)</f>
        <v>600</v>
      </c>
      <c r="H30" s="8">
        <f>SUMIFS(Ledger!$K$7:$K$1006,Ledger!$C$7:$C$1006,Portfolio!$C$5,Ledger!$B$7:$B$1006,"&lt;="&amp;$A30)</f>
        <v>38920</v>
      </c>
      <c r="I30" s="8">
        <f>IF(S30=6,SUMPRODUCT(B30:G30,History!B30:G30),NA())</f>
        <v>454994.37600000005</v>
      </c>
      <c r="J30" s="8">
        <f t="shared" si="0"/>
        <v>493914.37600000005</v>
      </c>
      <c r="K30" s="8">
        <f>SUMIFS(Ledger!$L$7:$L$1006,Ledger!$C$7:$C$1006,Portfolio!$C$5,Ledger!$B$7:$B$1006,$A30)</f>
        <v>0</v>
      </c>
      <c r="L30" s="10">
        <f>IF(A30&lt;Holdings!$G$24,"",IF(A30=Holdings!$G$24,IF(K30&gt;0,J30/K30-1,NA()),IF(J29&gt;0,(J30-K30)/J29-1,NA())))</f>
        <v>-3.1086724312501257E-3</v>
      </c>
      <c r="M30" s="11">
        <f>IF(A30&lt;Holdings!$G$24,"",IF(A30=Holdings!$G$24,100*(1+L30),M29*(1+L30)))</f>
        <v>98.782875199999992</v>
      </c>
      <c r="N30" s="11">
        <f>IF(A30&lt;Holdings!$G$24,"",IF(A30=Holdings!$G$24,MAX(100,M30),MAX(N29,M30)))</f>
        <v>101.59037800000002</v>
      </c>
      <c r="O30" s="10">
        <f>IF(A30&lt;Holdings!$G$24,"",M30/N30-1)</f>
        <v>-2.7635518788994173E-2</v>
      </c>
      <c r="P30" s="11">
        <f>IF(A30&lt;Holdings!$G$24,"",IF(History!H30&gt;0,History!H30/INDEX(History!$H$7:$H$136,MATCH(Holdings!$G$24,History!$A$7:$A$136,0))*100,NA()))</f>
        <v>97.179288199999988</v>
      </c>
      <c r="Q30" s="10">
        <f>IF(A30&lt;=Holdings!$G$24,"",P30/P29-1)</f>
        <v>-3.0671513115753113E-3</v>
      </c>
      <c r="R30" s="8">
        <f>IF(A30&gt;Portfolio!$J$5,0,-K30+IF(A30=Portfolio!$J$5,J30,0))</f>
        <v>0</v>
      </c>
      <c r="S30" s="1">
        <f>COUNTIFS(History!B30:G30,"&gt;0")</f>
        <v>6</v>
      </c>
      <c r="T30" s="1" t="str">
        <f t="shared" si="1"/>
        <v>23-Apr</v>
      </c>
      <c r="U30" s="10">
        <f>IF(AND(A30&lt;=Portfolio!$J$5,A30&gt;=Holdings!$G$24),O30,0)</f>
        <v>-2.7635518788994173E-2</v>
      </c>
      <c r="V30" s="12">
        <f>IF(AND(A30&gt;Holdings!$G$24,A30&lt;=Portfolio!$J$5),L30,"")</f>
        <v>-3.1086724312501257E-3</v>
      </c>
      <c r="W30" s="12">
        <f>IF(AND(A30&gt;Holdings!$G$24,A30&lt;=Portfolio!$J$5),Q30,"")</f>
        <v>-3.0671513115753113E-3</v>
      </c>
    </row>
    <row r="31" spans="1:23" ht="19.95" customHeight="1" x14ac:dyDescent="0.3">
      <c r="A31" s="7">
        <v>46136</v>
      </c>
      <c r="B31" s="1">
        <f>SUMIFS(Ledger!$J$7:$J$1006,Ledger!$C$7:$C$1006,Portfolio!$C$5,Ledger!$E$7:$E$1006,History!B$6,Ledger!$B$7:$B$1006,"&lt;="&amp;$A31)</f>
        <v>80</v>
      </c>
      <c r="C31" s="1">
        <f>SUMIFS(Ledger!$J$7:$J$1006,Ledger!$C$7:$C$1006,Portfolio!$C$5,Ledger!$E$7:$E$1006,History!C$6,Ledger!$B$7:$B$1006,"&lt;="&amp;$A31)</f>
        <v>100</v>
      </c>
      <c r="D31" s="1">
        <f>SUMIFS(Ledger!$J$7:$J$1006,Ledger!$C$7:$C$1006,Portfolio!$C$5,Ledger!$E$7:$E$1006,History!D$6,Ledger!$B$7:$B$1006,"&lt;="&amp;$A31)</f>
        <v>70</v>
      </c>
      <c r="E31" s="1">
        <f>SUMIFS(Ledger!$J$7:$J$1006,Ledger!$C$7:$C$1006,Portfolio!$C$5,Ledger!$E$7:$E$1006,History!E$6,Ledger!$B$7:$B$1006,"&lt;="&amp;$A31)</f>
        <v>180</v>
      </c>
      <c r="F31" s="1">
        <f>SUMIFS(Ledger!$J$7:$J$1006,Ledger!$C$7:$C$1006,Portfolio!$C$5,Ledger!$E$7:$E$1006,History!F$6,Ledger!$B$7:$B$1006,"&lt;="&amp;$A31)</f>
        <v>400</v>
      </c>
      <c r="G31" s="1">
        <f>SUMIFS(Ledger!$J$7:$J$1006,Ledger!$C$7:$C$1006,Portfolio!$C$5,Ledger!$E$7:$E$1006,History!G$6,Ledger!$B$7:$B$1006,"&lt;="&amp;$A31)</f>
        <v>600</v>
      </c>
      <c r="H31" s="8">
        <f>SUMIFS(Ledger!$K$7:$K$1006,Ledger!$C$7:$C$1006,Portfolio!$C$5,Ledger!$B$7:$B$1006,"&lt;="&amp;$A31)</f>
        <v>38920</v>
      </c>
      <c r="I31" s="8">
        <f>IF(S31=6,SUMPRODUCT(B31:G31,History!B31:G31),NA())</f>
        <v>458034.37800000003</v>
      </c>
      <c r="J31" s="8">
        <f t="shared" si="0"/>
        <v>496954.37800000003</v>
      </c>
      <c r="K31" s="8">
        <f>SUMIFS(Ledger!$L$7:$L$1006,Ledger!$C$7:$C$1006,Portfolio!$C$5,Ledger!$B$7:$B$1006,$A31)</f>
        <v>0</v>
      </c>
      <c r="L31" s="10">
        <f>IF(A31&lt;Holdings!$G$24,"",IF(A31=Holdings!$G$24,IF(K31&gt;0,J31/K31-1,NA()),IF(J30&gt;0,(J31-K31)/J30-1,NA())))</f>
        <v>6.154917021487849E-3</v>
      </c>
      <c r="M31" s="11">
        <f>IF(A31&lt;Holdings!$G$24,"",IF(A31=Holdings!$G$24,100*(1+L31),M30*(1+L31)))</f>
        <v>99.390875599999987</v>
      </c>
      <c r="N31" s="11">
        <f>IF(A31&lt;Holdings!$G$24,"",IF(A31=Holdings!$G$24,MAX(100,M31),MAX(N30,M31)))</f>
        <v>101.59037800000002</v>
      </c>
      <c r="O31" s="10">
        <f>IF(A31&lt;Holdings!$G$24,"",M31/N31-1)</f>
        <v>-2.1650696092498367E-2</v>
      </c>
      <c r="P31" s="11">
        <f>IF(A31&lt;Holdings!$G$24,"",IF(History!H31&gt;0,History!H31/INDEX(History!$H$7:$H$136,MATCH(Holdings!$G$24,History!$A$7:$A$136,0))*100,NA()))</f>
        <v>97.328268899999998</v>
      </c>
      <c r="Q31" s="10">
        <f>IF(A31&lt;=Holdings!$G$24,"",P31/P30-1)</f>
        <v>1.5330499199932568E-3</v>
      </c>
      <c r="R31" s="8">
        <f>IF(A31&gt;Portfolio!$J$5,0,-K31+IF(A31=Portfolio!$J$5,J31,0))</f>
        <v>0</v>
      </c>
      <c r="S31" s="1">
        <f>COUNTIFS(History!B31:G31,"&gt;0")</f>
        <v>6</v>
      </c>
      <c r="T31" s="1" t="str">
        <f t="shared" si="1"/>
        <v>24-Apr</v>
      </c>
      <c r="U31" s="10">
        <f>IF(AND(A31&lt;=Portfolio!$J$5,A31&gt;=Holdings!$G$24),O31,0)</f>
        <v>-2.1650696092498367E-2</v>
      </c>
      <c r="V31" s="12">
        <f>IF(AND(A31&gt;Holdings!$G$24,A31&lt;=Portfolio!$J$5),L31,"")</f>
        <v>6.154917021487849E-3</v>
      </c>
      <c r="W31" s="12">
        <f>IF(AND(A31&gt;Holdings!$G$24,A31&lt;=Portfolio!$J$5),Q31,"")</f>
        <v>1.5330499199932568E-3</v>
      </c>
    </row>
    <row r="32" spans="1:23" ht="19.95" customHeight="1" x14ac:dyDescent="0.3">
      <c r="A32" s="7">
        <v>46139</v>
      </c>
      <c r="B32" s="1">
        <f>SUMIFS(Ledger!$J$7:$J$1006,Ledger!$C$7:$C$1006,Portfolio!$C$5,Ledger!$E$7:$E$1006,History!B$6,Ledger!$B$7:$B$1006,"&lt;="&amp;$A32)</f>
        <v>80</v>
      </c>
      <c r="C32" s="1">
        <f>SUMIFS(Ledger!$J$7:$J$1006,Ledger!$C$7:$C$1006,Portfolio!$C$5,Ledger!$E$7:$E$1006,History!C$6,Ledger!$B$7:$B$1006,"&lt;="&amp;$A32)</f>
        <v>100</v>
      </c>
      <c r="D32" s="1">
        <f>SUMIFS(Ledger!$J$7:$J$1006,Ledger!$C$7:$C$1006,Portfolio!$C$5,Ledger!$E$7:$E$1006,History!D$6,Ledger!$B$7:$B$1006,"&lt;="&amp;$A32)</f>
        <v>70</v>
      </c>
      <c r="E32" s="1">
        <f>SUMIFS(Ledger!$J$7:$J$1006,Ledger!$C$7:$C$1006,Portfolio!$C$5,Ledger!$E$7:$E$1006,History!E$6,Ledger!$B$7:$B$1006,"&lt;="&amp;$A32)</f>
        <v>180</v>
      </c>
      <c r="F32" s="1">
        <f>SUMIFS(Ledger!$J$7:$J$1006,Ledger!$C$7:$C$1006,Portfolio!$C$5,Ledger!$E$7:$E$1006,History!F$6,Ledger!$B$7:$B$1006,"&lt;="&amp;$A32)</f>
        <v>400</v>
      </c>
      <c r="G32" s="1">
        <f>SUMIFS(Ledger!$J$7:$J$1006,Ledger!$C$7:$C$1006,Portfolio!$C$5,Ledger!$E$7:$E$1006,History!G$6,Ledger!$B$7:$B$1006,"&lt;="&amp;$A32)</f>
        <v>600</v>
      </c>
      <c r="H32" s="8">
        <f>SUMIFS(Ledger!$K$7:$K$1006,Ledger!$C$7:$C$1006,Portfolio!$C$5,Ledger!$B$7:$B$1006,"&lt;="&amp;$A32)</f>
        <v>88920</v>
      </c>
      <c r="I32" s="8">
        <f>IF(S32=6,SUMPRODUCT(B32:G32,History!B32:G32),NA())</f>
        <v>452505.74200000003</v>
      </c>
      <c r="J32" s="8">
        <f t="shared" si="0"/>
        <v>541425.74200000009</v>
      </c>
      <c r="K32" s="8">
        <f>SUMIFS(Ledger!$L$7:$L$1006,Ledger!$C$7:$C$1006,Portfolio!$C$5,Ledger!$B$7:$B$1006,$A32)</f>
        <v>50000</v>
      </c>
      <c r="L32" s="10">
        <f>IF(A32&lt;Holdings!$G$24,"",IF(A32=Holdings!$G$24,IF(K32&gt;0,J32/K32-1,NA()),IF(J31&gt;0,(J32-K32)/J31-1,NA())))</f>
        <v>-1.1125037316805697E-2</v>
      </c>
      <c r="M32" s="11">
        <f>IF(A32&lt;Holdings!$G$24,"",IF(A32=Holdings!$G$24,100*(1+L32),M31*(1+L32)))</f>
        <v>98.285148399999997</v>
      </c>
      <c r="N32" s="11">
        <f>IF(A32&lt;Holdings!$G$24,"",IF(A32=Holdings!$G$24,MAX(100,M32),MAX(N31,M32)))</f>
        <v>101.59037800000002</v>
      </c>
      <c r="O32" s="10">
        <f>IF(A32&lt;Holdings!$G$24,"",M32/N32-1)</f>
        <v>-3.2534868607340117E-2</v>
      </c>
      <c r="P32" s="11">
        <f>IF(A32&lt;Holdings!$G$24,"",IF(History!H32&gt;0,History!H32/INDEX(History!$H$7:$H$136,MATCH(Holdings!$G$24,History!$A$7:$A$136,0))*100,NA()))</f>
        <v>96.537744000000004</v>
      </c>
      <c r="Q32" s="10">
        <f>IF(A32&lt;=Holdings!$G$24,"",P32/P31-1)</f>
        <v>-8.1222537802683181E-3</v>
      </c>
      <c r="R32" s="8">
        <f>IF(A32&gt;Portfolio!$J$5,0,-K32+IF(A32=Portfolio!$J$5,J32,0))</f>
        <v>-50000</v>
      </c>
      <c r="S32" s="1">
        <f>COUNTIFS(History!B32:G32,"&gt;0")</f>
        <v>6</v>
      </c>
      <c r="T32" s="1" t="str">
        <f t="shared" si="1"/>
        <v>27-Apr</v>
      </c>
      <c r="U32" s="10">
        <f>IF(AND(A32&lt;=Portfolio!$J$5,A32&gt;=Holdings!$G$24),O32,0)</f>
        <v>-3.2534868607340117E-2</v>
      </c>
      <c r="V32" s="12">
        <f>IF(AND(A32&gt;Holdings!$G$24,A32&lt;=Portfolio!$J$5),L32,"")</f>
        <v>-1.1125037316805697E-2</v>
      </c>
      <c r="W32" s="12">
        <f>IF(AND(A32&gt;Holdings!$G$24,A32&lt;=Portfolio!$J$5),Q32,"")</f>
        <v>-8.1222537802683181E-3</v>
      </c>
    </row>
    <row r="33" spans="1:23" ht="19.95" customHeight="1" x14ac:dyDescent="0.3">
      <c r="A33" s="7">
        <v>46140</v>
      </c>
      <c r="B33" s="1">
        <f>SUMIFS(Ledger!$J$7:$J$1006,Ledger!$C$7:$C$1006,Portfolio!$C$5,Ledger!$E$7:$E$1006,History!B$6,Ledger!$B$7:$B$1006,"&lt;="&amp;$A33)</f>
        <v>80</v>
      </c>
      <c r="C33" s="1">
        <f>SUMIFS(Ledger!$J$7:$J$1006,Ledger!$C$7:$C$1006,Portfolio!$C$5,Ledger!$E$7:$E$1006,History!C$6,Ledger!$B$7:$B$1006,"&lt;="&amp;$A33)</f>
        <v>100</v>
      </c>
      <c r="D33" s="1">
        <f>SUMIFS(Ledger!$J$7:$J$1006,Ledger!$C$7:$C$1006,Portfolio!$C$5,Ledger!$E$7:$E$1006,History!D$6,Ledger!$B$7:$B$1006,"&lt;="&amp;$A33)</f>
        <v>70</v>
      </c>
      <c r="E33" s="1">
        <f>SUMIFS(Ledger!$J$7:$J$1006,Ledger!$C$7:$C$1006,Portfolio!$C$5,Ledger!$E$7:$E$1006,History!E$6,Ledger!$B$7:$B$1006,"&lt;="&amp;$A33)</f>
        <v>180</v>
      </c>
      <c r="F33" s="1">
        <f>SUMIFS(Ledger!$J$7:$J$1006,Ledger!$C$7:$C$1006,Portfolio!$C$5,Ledger!$E$7:$E$1006,History!F$6,Ledger!$B$7:$B$1006,"&lt;="&amp;$A33)</f>
        <v>400</v>
      </c>
      <c r="G33" s="1">
        <f>SUMIFS(Ledger!$J$7:$J$1006,Ledger!$C$7:$C$1006,Portfolio!$C$5,Ledger!$E$7:$E$1006,History!G$6,Ledger!$B$7:$B$1006,"&lt;="&amp;$A33)</f>
        <v>600</v>
      </c>
      <c r="H33" s="8">
        <f>SUMIFS(Ledger!$K$7:$K$1006,Ledger!$C$7:$C$1006,Portfolio!$C$5,Ledger!$B$7:$B$1006,"&lt;="&amp;$A33)</f>
        <v>88920</v>
      </c>
      <c r="I33" s="8">
        <f>IF(S33=6,SUMPRODUCT(B33:G33,History!B33:G33),NA())</f>
        <v>456339.29599999997</v>
      </c>
      <c r="J33" s="8">
        <f t="shared" si="0"/>
        <v>545259.29599999997</v>
      </c>
      <c r="K33" s="8">
        <f>SUMIFS(Ledger!$L$7:$L$1006,Ledger!$C$7:$C$1006,Portfolio!$C$5,Ledger!$B$7:$B$1006,$A33)</f>
        <v>0</v>
      </c>
      <c r="L33" s="10">
        <f>IF(A33&lt;Holdings!$G$24,"",IF(A33=Holdings!$G$24,IF(K33&gt;0,J33/K33-1,NA()),IF(J32&gt;0,(J33-K33)/J32-1,NA())))</f>
        <v>7.0804797456414104E-3</v>
      </c>
      <c r="M33" s="11">
        <f>IF(A33&lt;Holdings!$G$24,"",IF(A33=Holdings!$G$24,100*(1+L33),M32*(1+L33)))</f>
        <v>98.981054402543563</v>
      </c>
      <c r="N33" s="11">
        <f>IF(A33&lt;Holdings!$G$24,"",IF(A33=Holdings!$G$24,MAX(100,M33),MAX(N32,M33)))</f>
        <v>101.59037800000002</v>
      </c>
      <c r="O33" s="10">
        <f>IF(A33&lt;Holdings!$G$24,"",M33/N33-1)</f>
        <v>-2.5684751339900003E-2</v>
      </c>
      <c r="P33" s="11">
        <f>IF(A33&lt;Holdings!$G$24,"",IF(History!H33&gt;0,History!H33/INDEX(History!$H$7:$H$136,MATCH(Holdings!$G$24,History!$A$7:$A$136,0))*100,NA()))</f>
        <v>97.303479200000012</v>
      </c>
      <c r="Q33" s="10">
        <f>IF(A33&lt;=Holdings!$G$24,"",P33/P32-1)</f>
        <v>7.931977362139353E-3</v>
      </c>
      <c r="R33" s="8">
        <f>IF(A33&gt;Portfolio!$J$5,0,-K33+IF(A33=Portfolio!$J$5,J33,0))</f>
        <v>0</v>
      </c>
      <c r="S33" s="1">
        <f>COUNTIFS(History!B33:G33,"&gt;0")</f>
        <v>6</v>
      </c>
      <c r="T33" s="1" t="str">
        <f t="shared" si="1"/>
        <v>28-Apr</v>
      </c>
      <c r="U33" s="10">
        <f>IF(AND(A33&lt;=Portfolio!$J$5,A33&gt;=Holdings!$G$24),O33,0)</f>
        <v>-2.5684751339900003E-2</v>
      </c>
      <c r="V33" s="12">
        <f>IF(AND(A33&gt;Holdings!$G$24,A33&lt;=Portfolio!$J$5),L33,"")</f>
        <v>7.0804797456414104E-3</v>
      </c>
      <c r="W33" s="12">
        <f>IF(AND(A33&gt;Holdings!$G$24,A33&lt;=Portfolio!$J$5),Q33,"")</f>
        <v>7.931977362139353E-3</v>
      </c>
    </row>
    <row r="34" spans="1:23" ht="19.95" customHeight="1" x14ac:dyDescent="0.3">
      <c r="A34" s="7">
        <v>46141</v>
      </c>
      <c r="B34" s="1">
        <f>SUMIFS(Ledger!$J$7:$J$1006,Ledger!$C$7:$C$1006,Portfolio!$C$5,Ledger!$E$7:$E$1006,History!B$6,Ledger!$B$7:$B$1006,"&lt;="&amp;$A34)</f>
        <v>100</v>
      </c>
      <c r="C34" s="1">
        <f>SUMIFS(Ledger!$J$7:$J$1006,Ledger!$C$7:$C$1006,Portfolio!$C$5,Ledger!$E$7:$E$1006,History!C$6,Ledger!$B$7:$B$1006,"&lt;="&amp;$A34)</f>
        <v>100</v>
      </c>
      <c r="D34" s="1">
        <f>SUMIFS(Ledger!$J$7:$J$1006,Ledger!$C$7:$C$1006,Portfolio!$C$5,Ledger!$E$7:$E$1006,History!D$6,Ledger!$B$7:$B$1006,"&lt;="&amp;$A34)</f>
        <v>70</v>
      </c>
      <c r="E34" s="1">
        <f>SUMIFS(Ledger!$J$7:$J$1006,Ledger!$C$7:$C$1006,Portfolio!$C$5,Ledger!$E$7:$E$1006,History!E$6,Ledger!$B$7:$B$1006,"&lt;="&amp;$A34)</f>
        <v>180</v>
      </c>
      <c r="F34" s="1">
        <f>SUMIFS(Ledger!$J$7:$J$1006,Ledger!$C$7:$C$1006,Portfolio!$C$5,Ledger!$E$7:$E$1006,History!F$6,Ledger!$B$7:$B$1006,"&lt;="&amp;$A34)</f>
        <v>400</v>
      </c>
      <c r="G34" s="1">
        <f>SUMIFS(Ledger!$J$7:$J$1006,Ledger!$C$7:$C$1006,Portfolio!$C$5,Ledger!$E$7:$E$1006,History!G$6,Ledger!$B$7:$B$1006,"&lt;="&amp;$A34)</f>
        <v>600</v>
      </c>
      <c r="H34" s="8">
        <f>SUMIFS(Ledger!$K$7:$K$1006,Ledger!$C$7:$C$1006,Portfolio!$C$5,Ledger!$B$7:$B$1006,"&lt;="&amp;$A34)</f>
        <v>78529.297999999995</v>
      </c>
      <c r="I34" s="8">
        <f>IF(S34=6,SUMPRODUCT(B34:G34,History!B34:G34),NA())</f>
        <v>465859.35499999998</v>
      </c>
      <c r="J34" s="8">
        <f t="shared" si="0"/>
        <v>544388.65299999993</v>
      </c>
      <c r="K34" s="8">
        <f>SUMIFS(Ledger!$L$7:$L$1006,Ledger!$C$7:$C$1006,Portfolio!$C$5,Ledger!$B$7:$B$1006,$A34)</f>
        <v>0</v>
      </c>
      <c r="L34" s="10">
        <f>IF(A34&lt;Holdings!$G$24,"",IF(A34=Holdings!$G$24,IF(K34&gt;0,J34/K34-1,NA()),IF(J33&gt;0,(J34-K34)/J33-1,NA())))</f>
        <v>-1.5967504018492562E-3</v>
      </c>
      <c r="M34" s="11">
        <f>IF(A34&lt;Holdings!$G$24,"",IF(A34=Holdings!$G$24,100*(1+L34),M33*(1+L34)))</f>
        <v>98.823006364150842</v>
      </c>
      <c r="N34" s="11">
        <f>IF(A34&lt;Holdings!$G$24,"",IF(A34=Holdings!$G$24,MAX(100,M34),MAX(N33,M34)))</f>
        <v>101.59037800000002</v>
      </c>
      <c r="O34" s="10">
        <f>IF(A34&lt;Holdings!$G$24,"",M34/N34-1)</f>
        <v>-2.7240489604725915E-2</v>
      </c>
      <c r="P34" s="11">
        <f>IF(A34&lt;Holdings!$G$24,"",IF(History!H34&gt;0,History!H34/INDEX(History!$H$7:$H$136,MATCH(Holdings!$G$24,History!$A$7:$A$136,0))*100,NA()))</f>
        <v>97.256869500000008</v>
      </c>
      <c r="Q34" s="10">
        <f>IF(A34&lt;=Holdings!$G$24,"",P34/P33-1)</f>
        <v>-4.7901370416780775E-4</v>
      </c>
      <c r="R34" s="8">
        <f>IF(A34&gt;Portfolio!$J$5,0,-K34+IF(A34=Portfolio!$J$5,J34,0))</f>
        <v>0</v>
      </c>
      <c r="S34" s="1">
        <f>COUNTIFS(History!B34:G34,"&gt;0")</f>
        <v>6</v>
      </c>
      <c r="T34" s="1" t="str">
        <f t="shared" si="1"/>
        <v>29-Apr</v>
      </c>
      <c r="U34" s="10">
        <f>IF(AND(A34&lt;=Portfolio!$J$5,A34&gt;=Holdings!$G$24),O34,0)</f>
        <v>-2.7240489604725915E-2</v>
      </c>
      <c r="V34" s="12">
        <f>IF(AND(A34&gt;Holdings!$G$24,A34&lt;=Portfolio!$J$5),L34,"")</f>
        <v>-1.5967504018492562E-3</v>
      </c>
      <c r="W34" s="12">
        <f>IF(AND(A34&gt;Holdings!$G$24,A34&lt;=Portfolio!$J$5),Q34,"")</f>
        <v>-4.7901370416780775E-4</v>
      </c>
    </row>
    <row r="35" spans="1:23" ht="19.95" customHeight="1" x14ac:dyDescent="0.3">
      <c r="A35" s="7">
        <v>46142</v>
      </c>
      <c r="B35" s="1">
        <f>SUMIFS(Ledger!$J$7:$J$1006,Ledger!$C$7:$C$1006,Portfolio!$C$5,Ledger!$E$7:$E$1006,History!B$6,Ledger!$B$7:$B$1006,"&lt;="&amp;$A35)</f>
        <v>100</v>
      </c>
      <c r="C35" s="1">
        <f>SUMIFS(Ledger!$J$7:$J$1006,Ledger!$C$7:$C$1006,Portfolio!$C$5,Ledger!$E$7:$E$1006,History!C$6,Ledger!$B$7:$B$1006,"&lt;="&amp;$A35)</f>
        <v>100</v>
      </c>
      <c r="D35" s="1">
        <f>SUMIFS(Ledger!$J$7:$J$1006,Ledger!$C$7:$C$1006,Portfolio!$C$5,Ledger!$E$7:$E$1006,History!D$6,Ledger!$B$7:$B$1006,"&lt;="&amp;$A35)</f>
        <v>70</v>
      </c>
      <c r="E35" s="1">
        <f>SUMIFS(Ledger!$J$7:$J$1006,Ledger!$C$7:$C$1006,Portfolio!$C$5,Ledger!$E$7:$E$1006,History!E$6,Ledger!$B$7:$B$1006,"&lt;="&amp;$A35)</f>
        <v>180</v>
      </c>
      <c r="F35" s="1">
        <f>SUMIFS(Ledger!$J$7:$J$1006,Ledger!$C$7:$C$1006,Portfolio!$C$5,Ledger!$E$7:$E$1006,History!F$6,Ledger!$B$7:$B$1006,"&lt;="&amp;$A35)</f>
        <v>400</v>
      </c>
      <c r="G35" s="1">
        <f>SUMIFS(Ledger!$J$7:$J$1006,Ledger!$C$7:$C$1006,Portfolio!$C$5,Ledger!$E$7:$E$1006,History!G$6,Ledger!$B$7:$B$1006,"&lt;="&amp;$A35)</f>
        <v>600</v>
      </c>
      <c r="H35" s="8">
        <f>SUMIFS(Ledger!$K$7:$K$1006,Ledger!$C$7:$C$1006,Portfolio!$C$5,Ledger!$B$7:$B$1006,"&lt;="&amp;$A35)</f>
        <v>78529.297999999995</v>
      </c>
      <c r="I35" s="8">
        <f>IF(S35=6,SUMPRODUCT(B35:G35,History!B35:G35),NA())</f>
        <v>466351.98</v>
      </c>
      <c r="J35" s="8">
        <f t="shared" si="0"/>
        <v>544881.27799999993</v>
      </c>
      <c r="K35" s="8">
        <f>SUMIFS(Ledger!$L$7:$L$1006,Ledger!$C$7:$C$1006,Portfolio!$C$5,Ledger!$B$7:$B$1006,$A35)</f>
        <v>0</v>
      </c>
      <c r="L35" s="10">
        <f>IF(A35&lt;Holdings!$G$24,"",IF(A35=Holdings!$G$24,IF(K35&gt;0,J35/K35-1,NA()),IF(J34&gt;0,(J35-K35)/J34-1,NA())))</f>
        <v>9.0491415881888138E-4</v>
      </c>
      <c r="M35" s="11">
        <f>IF(A35&lt;Holdings!$G$24,"",IF(A35=Holdings!$G$24,100*(1+L35),M34*(1+L35)))</f>
        <v>98.912432701826816</v>
      </c>
      <c r="N35" s="11">
        <f>IF(A35&lt;Holdings!$G$24,"",IF(A35=Holdings!$G$24,MAX(100,M35),MAX(N34,M35)))</f>
        <v>101.59037800000002</v>
      </c>
      <c r="O35" s="10">
        <f>IF(A35&lt;Holdings!$G$24,"",M35/N35-1)</f>
        <v>-2.6360225750643451E-2</v>
      </c>
      <c r="P35" s="11">
        <f>IF(A35&lt;Holdings!$G$24,"",IF(History!H35&gt;0,History!H35/INDEX(History!$H$7:$H$136,MATCH(Holdings!$G$24,History!$A$7:$A$136,0))*100,NA()))</f>
        <v>97.147489100000001</v>
      </c>
      <c r="Q35" s="10">
        <f>IF(A35&lt;=Holdings!$G$24,"",P35/P34-1)</f>
        <v>-1.1246547473955371E-3</v>
      </c>
      <c r="R35" s="8">
        <f>IF(A35&gt;Portfolio!$J$5,0,-K35+IF(A35=Portfolio!$J$5,J35,0))</f>
        <v>0</v>
      </c>
      <c r="S35" s="1">
        <f>COUNTIFS(History!B35:G35,"&gt;0")</f>
        <v>6</v>
      </c>
      <c r="T35" s="1" t="str">
        <f t="shared" si="1"/>
        <v>30-Apr</v>
      </c>
      <c r="U35" s="10">
        <f>IF(AND(A35&lt;=Portfolio!$J$5,A35&gt;=Holdings!$G$24),O35,0)</f>
        <v>-2.6360225750643451E-2</v>
      </c>
      <c r="V35" s="12">
        <f>IF(AND(A35&gt;Holdings!$G$24,A35&lt;=Portfolio!$J$5),L35,"")</f>
        <v>9.0491415881888138E-4</v>
      </c>
      <c r="W35" s="12">
        <f>IF(AND(A35&gt;Holdings!$G$24,A35&lt;=Portfolio!$J$5),Q35,"")</f>
        <v>-1.1246547473955371E-3</v>
      </c>
    </row>
    <row r="36" spans="1:23" ht="19.95" customHeight="1" x14ac:dyDescent="0.3">
      <c r="A36" s="7">
        <v>46143</v>
      </c>
      <c r="B36" s="1">
        <f>SUMIFS(Ledger!$J$7:$J$1006,Ledger!$C$7:$C$1006,Portfolio!$C$5,Ledger!$E$7:$E$1006,History!B$6,Ledger!$B$7:$B$1006,"&lt;="&amp;$A36)</f>
        <v>100</v>
      </c>
      <c r="C36" s="1">
        <f>SUMIFS(Ledger!$J$7:$J$1006,Ledger!$C$7:$C$1006,Portfolio!$C$5,Ledger!$E$7:$E$1006,History!C$6,Ledger!$B$7:$B$1006,"&lt;="&amp;$A36)</f>
        <v>100</v>
      </c>
      <c r="D36" s="1">
        <f>SUMIFS(Ledger!$J$7:$J$1006,Ledger!$C$7:$C$1006,Portfolio!$C$5,Ledger!$E$7:$E$1006,History!D$6,Ledger!$B$7:$B$1006,"&lt;="&amp;$A36)</f>
        <v>70</v>
      </c>
      <c r="E36" s="1">
        <f>SUMIFS(Ledger!$J$7:$J$1006,Ledger!$C$7:$C$1006,Portfolio!$C$5,Ledger!$E$7:$E$1006,History!E$6,Ledger!$B$7:$B$1006,"&lt;="&amp;$A36)</f>
        <v>180</v>
      </c>
      <c r="F36" s="1">
        <f>SUMIFS(Ledger!$J$7:$J$1006,Ledger!$C$7:$C$1006,Portfolio!$C$5,Ledger!$E$7:$E$1006,History!F$6,Ledger!$B$7:$B$1006,"&lt;="&amp;$A36)</f>
        <v>400</v>
      </c>
      <c r="G36" s="1">
        <f>SUMIFS(Ledger!$J$7:$J$1006,Ledger!$C$7:$C$1006,Portfolio!$C$5,Ledger!$E$7:$E$1006,History!G$6,Ledger!$B$7:$B$1006,"&lt;="&amp;$A36)</f>
        <v>600</v>
      </c>
      <c r="H36" s="8">
        <f>SUMIFS(Ledger!$K$7:$K$1006,Ledger!$C$7:$C$1006,Portfolio!$C$5,Ledger!$B$7:$B$1006,"&lt;="&amp;$A36)</f>
        <v>78529.297999999995</v>
      </c>
      <c r="I36" s="8">
        <f>IF(S36=6,SUMPRODUCT(B36:G36,History!B36:G36),NA())</f>
        <v>465260.109</v>
      </c>
      <c r="J36" s="8">
        <f t="shared" si="0"/>
        <v>543789.40700000001</v>
      </c>
      <c r="K36" s="8">
        <f>SUMIFS(Ledger!$L$7:$L$1006,Ledger!$C$7:$C$1006,Portfolio!$C$5,Ledger!$B$7:$B$1006,$A36)</f>
        <v>0</v>
      </c>
      <c r="L36" s="10">
        <f>IF(A36&lt;Holdings!$G$24,"",IF(A36=Holdings!$G$24,IF(K36&gt;0,J36/K36-1,NA()),IF(J35&gt;0,(J36-K36)/J35-1,NA())))</f>
        <v>-2.003869547523629E-3</v>
      </c>
      <c r="M36" s="11">
        <f>IF(A36&lt;Holdings!$G$24,"",IF(A36=Holdings!$G$24,100*(1+L36),M35*(1+L36)))</f>
        <v>98.714225090064147</v>
      </c>
      <c r="N36" s="11">
        <f>IF(A36&lt;Holdings!$G$24,"",IF(A36=Holdings!$G$24,MAX(100,M36),MAX(N35,M36)))</f>
        <v>101.59037800000002</v>
      </c>
      <c r="O36" s="10">
        <f>IF(A36&lt;Holdings!$G$24,"",M36/N36-1)</f>
        <v>-2.8311272844519508E-2</v>
      </c>
      <c r="P36" s="11">
        <f>IF(A36&lt;Holdings!$G$24,"",IF(History!H36&gt;0,History!H36/INDEX(History!$H$7:$H$136,MATCH(Holdings!$G$24,History!$A$7:$A$136,0))*100,NA()))</f>
        <v>96.809650199999993</v>
      </c>
      <c r="Q36" s="10">
        <f>IF(A36&lt;=Holdings!$G$24,"",P36/P35-1)</f>
        <v>-3.4775875643295873E-3</v>
      </c>
      <c r="R36" s="8">
        <f>IF(A36&gt;Portfolio!$J$5,0,-K36+IF(A36=Portfolio!$J$5,J36,0))</f>
        <v>0</v>
      </c>
      <c r="S36" s="1">
        <f>COUNTIFS(History!B36:G36,"&gt;0")</f>
        <v>6</v>
      </c>
      <c r="T36" s="1" t="str">
        <f t="shared" si="1"/>
        <v>01-May</v>
      </c>
      <c r="U36" s="10">
        <f>IF(AND(A36&lt;=Portfolio!$J$5,A36&gt;=Holdings!$G$24),O36,0)</f>
        <v>-2.8311272844519508E-2</v>
      </c>
      <c r="V36" s="12">
        <f>IF(AND(A36&gt;Holdings!$G$24,A36&lt;=Portfolio!$J$5),L36,"")</f>
        <v>-2.003869547523629E-3</v>
      </c>
      <c r="W36" s="12">
        <f>IF(AND(A36&gt;Holdings!$G$24,A36&lt;=Portfolio!$J$5),Q36,"")</f>
        <v>-3.4775875643295873E-3</v>
      </c>
    </row>
    <row r="37" spans="1:23" ht="19.95" customHeight="1" x14ac:dyDescent="0.3">
      <c r="A37" s="7">
        <v>46146</v>
      </c>
      <c r="B37" s="1">
        <f>SUMIFS(Ledger!$J$7:$J$1006,Ledger!$C$7:$C$1006,Portfolio!$C$5,Ledger!$E$7:$E$1006,History!B$6,Ledger!$B$7:$B$1006,"&lt;="&amp;$A37)</f>
        <v>100</v>
      </c>
      <c r="C37" s="1">
        <f>SUMIFS(Ledger!$J$7:$J$1006,Ledger!$C$7:$C$1006,Portfolio!$C$5,Ledger!$E$7:$E$1006,History!C$6,Ledger!$B$7:$B$1006,"&lt;="&amp;$A37)</f>
        <v>100</v>
      </c>
      <c r="D37" s="1">
        <f>SUMIFS(Ledger!$J$7:$J$1006,Ledger!$C$7:$C$1006,Portfolio!$C$5,Ledger!$E$7:$E$1006,History!D$6,Ledger!$B$7:$B$1006,"&lt;="&amp;$A37)</f>
        <v>70</v>
      </c>
      <c r="E37" s="1">
        <f>SUMIFS(Ledger!$J$7:$J$1006,Ledger!$C$7:$C$1006,Portfolio!$C$5,Ledger!$E$7:$E$1006,History!E$6,Ledger!$B$7:$B$1006,"&lt;="&amp;$A37)</f>
        <v>180</v>
      </c>
      <c r="F37" s="1">
        <f>SUMIFS(Ledger!$J$7:$J$1006,Ledger!$C$7:$C$1006,Portfolio!$C$5,Ledger!$E$7:$E$1006,History!F$6,Ledger!$B$7:$B$1006,"&lt;="&amp;$A37)</f>
        <v>400</v>
      </c>
      <c r="G37" s="1">
        <f>SUMIFS(Ledger!$J$7:$J$1006,Ledger!$C$7:$C$1006,Portfolio!$C$5,Ledger!$E$7:$E$1006,History!G$6,Ledger!$B$7:$B$1006,"&lt;="&amp;$A37)</f>
        <v>600</v>
      </c>
      <c r="H37" s="8">
        <f>SUMIFS(Ledger!$K$7:$K$1006,Ledger!$C$7:$C$1006,Portfolio!$C$5,Ledger!$B$7:$B$1006,"&lt;="&amp;$A37)</f>
        <v>78529.297999999995</v>
      </c>
      <c r="I37" s="8">
        <f>IF(S37=6,SUMPRODUCT(B37:G37,History!B37:G37),NA())</f>
        <v>464892.21599999996</v>
      </c>
      <c r="J37" s="8">
        <f t="shared" si="0"/>
        <v>543421.51399999997</v>
      </c>
      <c r="K37" s="8">
        <f>SUMIFS(Ledger!$L$7:$L$1006,Ledger!$C$7:$C$1006,Portfolio!$C$5,Ledger!$B$7:$B$1006,$A37)</f>
        <v>0</v>
      </c>
      <c r="L37" s="10">
        <f>IF(A37&lt;Holdings!$G$24,"",IF(A37=Holdings!$G$24,IF(K37&gt;0,J37/K37-1,NA()),IF(J36&gt;0,(J37-K37)/J36-1,NA())))</f>
        <v>-6.7653579724846757E-4</v>
      </c>
      <c r="M37" s="11">
        <f>IF(A37&lt;Holdings!$G$24,"",IF(A37=Holdings!$G$24,100*(1+L37),M36*(1+L37)))</f>
        <v>98.647441383093081</v>
      </c>
      <c r="N37" s="11">
        <f>IF(A37&lt;Holdings!$G$24,"",IF(A37=Holdings!$G$24,MAX(100,M37),MAX(N36,M37)))</f>
        <v>101.59037800000002</v>
      </c>
      <c r="O37" s="10">
        <f>IF(A37&lt;Holdings!$G$24,"",M37/N37-1)</f>
        <v>-2.8968655052222902E-2</v>
      </c>
      <c r="P37" s="11">
        <f>IF(A37&lt;Holdings!$G$24,"",IF(History!H37&gt;0,History!H37/INDEX(History!$H$7:$H$136,MATCH(Holdings!$G$24,History!$A$7:$A$136,0))*100,NA()))</f>
        <v>96.699595200000005</v>
      </c>
      <c r="Q37" s="10">
        <f>IF(A37&lt;=Holdings!$G$24,"",P37/P36-1)</f>
        <v>-1.136818486304092E-3</v>
      </c>
      <c r="R37" s="8">
        <f>IF(A37&gt;Portfolio!$J$5,0,-K37+IF(A37=Portfolio!$J$5,J37,0))</f>
        <v>0</v>
      </c>
      <c r="S37" s="1">
        <f>COUNTIFS(History!B37:G37,"&gt;0")</f>
        <v>6</v>
      </c>
      <c r="T37" s="1" t="str">
        <f t="shared" si="1"/>
        <v>04-May</v>
      </c>
      <c r="U37" s="10">
        <f>IF(AND(A37&lt;=Portfolio!$J$5,A37&gt;=Holdings!$G$24),O37,0)</f>
        <v>-2.8968655052222902E-2</v>
      </c>
      <c r="V37" s="12">
        <f>IF(AND(A37&gt;Holdings!$G$24,A37&lt;=Portfolio!$J$5),L37,"")</f>
        <v>-6.7653579724846757E-4</v>
      </c>
      <c r="W37" s="12">
        <f>IF(AND(A37&gt;Holdings!$G$24,A37&lt;=Portfolio!$J$5),Q37,"")</f>
        <v>-1.136818486304092E-3</v>
      </c>
    </row>
    <row r="38" spans="1:23" ht="19.95" customHeight="1" x14ac:dyDescent="0.3">
      <c r="A38" s="7">
        <v>46147</v>
      </c>
      <c r="B38" s="1">
        <f>SUMIFS(Ledger!$J$7:$J$1006,Ledger!$C$7:$C$1006,Portfolio!$C$5,Ledger!$E$7:$E$1006,History!B$6,Ledger!$B$7:$B$1006,"&lt;="&amp;$A38)</f>
        <v>100</v>
      </c>
      <c r="C38" s="1">
        <f>SUMIFS(Ledger!$J$7:$J$1006,Ledger!$C$7:$C$1006,Portfolio!$C$5,Ledger!$E$7:$E$1006,History!C$6,Ledger!$B$7:$B$1006,"&lt;="&amp;$A38)</f>
        <v>100</v>
      </c>
      <c r="D38" s="1">
        <f>SUMIFS(Ledger!$J$7:$J$1006,Ledger!$C$7:$C$1006,Portfolio!$C$5,Ledger!$E$7:$E$1006,History!D$6,Ledger!$B$7:$B$1006,"&lt;="&amp;$A38)</f>
        <v>70</v>
      </c>
      <c r="E38" s="1">
        <f>SUMIFS(Ledger!$J$7:$J$1006,Ledger!$C$7:$C$1006,Portfolio!$C$5,Ledger!$E$7:$E$1006,History!E$6,Ledger!$B$7:$B$1006,"&lt;="&amp;$A38)</f>
        <v>180</v>
      </c>
      <c r="F38" s="1">
        <f>SUMIFS(Ledger!$J$7:$J$1006,Ledger!$C$7:$C$1006,Portfolio!$C$5,Ledger!$E$7:$E$1006,History!F$6,Ledger!$B$7:$B$1006,"&lt;="&amp;$A38)</f>
        <v>400</v>
      </c>
      <c r="G38" s="1">
        <f>SUMIFS(Ledger!$J$7:$J$1006,Ledger!$C$7:$C$1006,Portfolio!$C$5,Ledger!$E$7:$E$1006,History!G$6,Ledger!$B$7:$B$1006,"&lt;="&amp;$A38)</f>
        <v>600</v>
      </c>
      <c r="H38" s="8">
        <f>SUMIFS(Ledger!$K$7:$K$1006,Ledger!$C$7:$C$1006,Portfolio!$C$5,Ledger!$B$7:$B$1006,"&lt;="&amp;$A38)</f>
        <v>78529.297999999995</v>
      </c>
      <c r="I38" s="8">
        <f>IF(S38=6,SUMPRODUCT(B38:G38,History!B38:G38),NA())</f>
        <v>463559.18999999994</v>
      </c>
      <c r="J38" s="8">
        <f t="shared" si="0"/>
        <v>542088.4879999999</v>
      </c>
      <c r="K38" s="8">
        <f>SUMIFS(Ledger!$L$7:$L$1006,Ledger!$C$7:$C$1006,Portfolio!$C$5,Ledger!$B$7:$B$1006,$A38)</f>
        <v>0</v>
      </c>
      <c r="L38" s="10">
        <f>IF(A38&lt;Holdings!$G$24,"",IF(A38=Holdings!$G$24,IF(K38&gt;0,J38/K38-1,NA()),IF(J37&gt;0,(J38-K38)/J37-1,NA())))</f>
        <v>-2.4530239706337387E-3</v>
      </c>
      <c r="M38" s="11">
        <f>IF(A38&lt;Holdings!$G$24,"",IF(A38=Holdings!$G$24,100*(1+L38),M37*(1+L38)))</f>
        <v>98.405456844738666</v>
      </c>
      <c r="N38" s="11">
        <f>IF(A38&lt;Holdings!$G$24,"",IF(A38=Holdings!$G$24,MAX(100,M38),MAX(N37,M38)))</f>
        <v>101.59037800000002</v>
      </c>
      <c r="O38" s="10">
        <f>IF(A38&lt;Holdings!$G$24,"",M38/N38-1)</f>
        <v>-3.1350618217616533E-2</v>
      </c>
      <c r="P38" s="11">
        <f>IF(A38&lt;Holdings!$G$24,"",IF(History!H38&gt;0,History!H38/INDEX(History!$H$7:$H$136,MATCH(Holdings!$G$24,History!$A$7:$A$136,0))*100,NA()))</f>
        <v>95.809396300000003</v>
      </c>
      <c r="Q38" s="10">
        <f>IF(A38&lt;=Holdings!$G$24,"",P38/P37-1)</f>
        <v>-9.2058182679962686E-3</v>
      </c>
      <c r="R38" s="8">
        <f>IF(A38&gt;Portfolio!$J$5,0,-K38+IF(A38=Portfolio!$J$5,J38,0))</f>
        <v>0</v>
      </c>
      <c r="S38" s="1">
        <f>COUNTIFS(History!B38:G38,"&gt;0")</f>
        <v>6</v>
      </c>
      <c r="T38" s="1" t="str">
        <f t="shared" si="1"/>
        <v>05-May</v>
      </c>
      <c r="U38" s="10">
        <f>IF(AND(A38&lt;=Portfolio!$J$5,A38&gt;=Holdings!$G$24),O38,0)</f>
        <v>-3.1350618217616533E-2</v>
      </c>
      <c r="V38" s="12">
        <f>IF(AND(A38&gt;Holdings!$G$24,A38&lt;=Portfolio!$J$5),L38,"")</f>
        <v>-2.4530239706337387E-3</v>
      </c>
      <c r="W38" s="12">
        <f>IF(AND(A38&gt;Holdings!$G$24,A38&lt;=Portfolio!$J$5),Q38,"")</f>
        <v>-9.2058182679962686E-3</v>
      </c>
    </row>
    <row r="39" spans="1:23" ht="19.95" customHeight="1" x14ac:dyDescent="0.3">
      <c r="A39" s="7">
        <v>46148</v>
      </c>
      <c r="B39" s="1">
        <f>SUMIFS(Ledger!$J$7:$J$1006,Ledger!$C$7:$C$1006,Portfolio!$C$5,Ledger!$E$7:$E$1006,History!B$6,Ledger!$B$7:$B$1006,"&lt;="&amp;$A39)</f>
        <v>100</v>
      </c>
      <c r="C39" s="1">
        <f>SUMIFS(Ledger!$J$7:$J$1006,Ledger!$C$7:$C$1006,Portfolio!$C$5,Ledger!$E$7:$E$1006,History!C$6,Ledger!$B$7:$B$1006,"&lt;="&amp;$A39)</f>
        <v>100</v>
      </c>
      <c r="D39" s="1">
        <f>SUMIFS(Ledger!$J$7:$J$1006,Ledger!$C$7:$C$1006,Portfolio!$C$5,Ledger!$E$7:$E$1006,History!D$6,Ledger!$B$7:$B$1006,"&lt;="&amp;$A39)</f>
        <v>70</v>
      </c>
      <c r="E39" s="1">
        <f>SUMIFS(Ledger!$J$7:$J$1006,Ledger!$C$7:$C$1006,Portfolio!$C$5,Ledger!$E$7:$E$1006,History!E$6,Ledger!$B$7:$B$1006,"&lt;="&amp;$A39)</f>
        <v>180</v>
      </c>
      <c r="F39" s="1">
        <f>SUMIFS(Ledger!$J$7:$J$1006,Ledger!$C$7:$C$1006,Portfolio!$C$5,Ledger!$E$7:$E$1006,History!F$6,Ledger!$B$7:$B$1006,"&lt;="&amp;$A39)</f>
        <v>400</v>
      </c>
      <c r="G39" s="1">
        <f>SUMIFS(Ledger!$J$7:$J$1006,Ledger!$C$7:$C$1006,Portfolio!$C$5,Ledger!$E$7:$E$1006,History!G$6,Ledger!$B$7:$B$1006,"&lt;="&amp;$A39)</f>
        <v>600</v>
      </c>
      <c r="H39" s="8">
        <f>SUMIFS(Ledger!$K$7:$K$1006,Ledger!$C$7:$C$1006,Portfolio!$C$5,Ledger!$B$7:$B$1006,"&lt;="&amp;$A39)</f>
        <v>78529.297999999995</v>
      </c>
      <c r="I39" s="8">
        <f>IF(S39=6,SUMPRODUCT(B39:G39,History!B39:G39),NA())</f>
        <v>462431.16099999996</v>
      </c>
      <c r="J39" s="8">
        <f t="shared" ref="J39:J70" si="2">SUM(H39:I39)</f>
        <v>540960.45899999992</v>
      </c>
      <c r="K39" s="8">
        <f>SUMIFS(Ledger!$L$7:$L$1006,Ledger!$C$7:$C$1006,Portfolio!$C$5,Ledger!$B$7:$B$1006,$A39)</f>
        <v>0</v>
      </c>
      <c r="L39" s="10">
        <f>IF(A39&lt;Holdings!$G$24,"",IF(A39=Holdings!$G$24,IF(K39&gt;0,J39/K39-1,NA()),IF(J38&gt;0,(J39-K39)/J38-1,NA())))</f>
        <v>-2.0808945863465267E-3</v>
      </c>
      <c r="M39" s="11">
        <f>IF(A39&lt;Holdings!$G$24,"",IF(A39=Holdings!$G$24,100*(1+L39),M38*(1+L39)))</f>
        <v>98.200685462323491</v>
      </c>
      <c r="N39" s="11">
        <f>IF(A39&lt;Holdings!$G$24,"",IF(A39=Holdings!$G$24,MAX(100,M39),MAX(N38,M39)))</f>
        <v>101.59037800000002</v>
      </c>
      <c r="O39" s="10">
        <f>IF(A39&lt;Holdings!$G$24,"",M39/N39-1)</f>
        <v>-3.3366275472235363E-2</v>
      </c>
      <c r="P39" s="11">
        <f>IF(A39&lt;Holdings!$G$24,"",IF(History!H39&gt;0,History!H39/INDEX(History!$H$7:$H$136,MATCH(Holdings!$G$24,History!$A$7:$A$136,0))*100,NA()))</f>
        <v>95.399080800000007</v>
      </c>
      <c r="Q39" s="10">
        <f>IF(A39&lt;=Holdings!$G$24,"",P39/P38-1)</f>
        <v>-4.28262274730562E-3</v>
      </c>
      <c r="R39" s="8">
        <f>IF(A39&gt;Portfolio!$J$5,0,-K39+IF(A39=Portfolio!$J$5,J39,0))</f>
        <v>0</v>
      </c>
      <c r="S39" s="1">
        <f>COUNTIFS(History!B39:G39,"&gt;0")</f>
        <v>6</v>
      </c>
      <c r="T39" s="1" t="str">
        <f t="shared" ref="T39:T70" si="3">TEXT(A39,"dd-mmm")</f>
        <v>06-May</v>
      </c>
      <c r="U39" s="10">
        <f>IF(AND(A39&lt;=Portfolio!$J$5,A39&gt;=Holdings!$G$24),O39,0)</f>
        <v>-3.3366275472235363E-2</v>
      </c>
      <c r="V39" s="12">
        <f>IF(AND(A39&gt;Holdings!$G$24,A39&lt;=Portfolio!$J$5),L39,"")</f>
        <v>-2.0808945863465267E-3</v>
      </c>
      <c r="W39" s="12">
        <f>IF(AND(A39&gt;Holdings!$G$24,A39&lt;=Portfolio!$J$5),Q39,"")</f>
        <v>-4.28262274730562E-3</v>
      </c>
    </row>
    <row r="40" spans="1:23" ht="19.95" customHeight="1" x14ac:dyDescent="0.3">
      <c r="A40" s="7">
        <v>46149</v>
      </c>
      <c r="B40" s="1">
        <f>SUMIFS(Ledger!$J$7:$J$1006,Ledger!$C$7:$C$1006,Portfolio!$C$5,Ledger!$E$7:$E$1006,History!B$6,Ledger!$B$7:$B$1006,"&lt;="&amp;$A40)</f>
        <v>100</v>
      </c>
      <c r="C40" s="1">
        <f>SUMIFS(Ledger!$J$7:$J$1006,Ledger!$C$7:$C$1006,Portfolio!$C$5,Ledger!$E$7:$E$1006,History!C$6,Ledger!$B$7:$B$1006,"&lt;="&amp;$A40)</f>
        <v>100</v>
      </c>
      <c r="D40" s="1">
        <f>SUMIFS(Ledger!$J$7:$J$1006,Ledger!$C$7:$C$1006,Portfolio!$C$5,Ledger!$E$7:$E$1006,History!D$6,Ledger!$B$7:$B$1006,"&lt;="&amp;$A40)</f>
        <v>70</v>
      </c>
      <c r="E40" s="1">
        <f>SUMIFS(Ledger!$J$7:$J$1006,Ledger!$C$7:$C$1006,Portfolio!$C$5,Ledger!$E$7:$E$1006,History!E$6,Ledger!$B$7:$B$1006,"&lt;="&amp;$A40)</f>
        <v>180</v>
      </c>
      <c r="F40" s="1">
        <f>SUMIFS(Ledger!$J$7:$J$1006,Ledger!$C$7:$C$1006,Portfolio!$C$5,Ledger!$E$7:$E$1006,History!F$6,Ledger!$B$7:$B$1006,"&lt;="&amp;$A40)</f>
        <v>400</v>
      </c>
      <c r="G40" s="1">
        <f>SUMIFS(Ledger!$J$7:$J$1006,Ledger!$C$7:$C$1006,Portfolio!$C$5,Ledger!$E$7:$E$1006,History!G$6,Ledger!$B$7:$B$1006,"&lt;="&amp;$A40)</f>
        <v>600</v>
      </c>
      <c r="H40" s="8">
        <f>SUMIFS(Ledger!$K$7:$K$1006,Ledger!$C$7:$C$1006,Portfolio!$C$5,Ledger!$B$7:$B$1006,"&lt;="&amp;$A40)</f>
        <v>78529.297999999995</v>
      </c>
      <c r="I40" s="8">
        <f>IF(S40=6,SUMPRODUCT(B40:G40,History!B40:G40),NA())</f>
        <v>461529.50800000003</v>
      </c>
      <c r="J40" s="8">
        <f t="shared" si="2"/>
        <v>540058.80599999998</v>
      </c>
      <c r="K40" s="8">
        <f>SUMIFS(Ledger!$L$7:$L$1006,Ledger!$C$7:$C$1006,Portfolio!$C$5,Ledger!$B$7:$B$1006,$A40)</f>
        <v>0</v>
      </c>
      <c r="L40" s="10">
        <f>IF(A40&lt;Holdings!$G$24,"",IF(A40=Holdings!$G$24,IF(K40&gt;0,J40/K40-1,NA()),IF(J39&gt;0,(J40-K40)/J39-1,NA())))</f>
        <v>-1.6667632264042442E-3</v>
      </c>
      <c r="M40" s="11">
        <f>IF(A40&lt;Holdings!$G$24,"",IF(A40=Holdings!$G$24,100*(1+L40),M39*(1+L40)))</f>
        <v>98.037008170987207</v>
      </c>
      <c r="N40" s="11">
        <f>IF(A40&lt;Holdings!$G$24,"",IF(A40=Holdings!$G$24,MAX(100,M40),MAX(N39,M40)))</f>
        <v>101.59037800000002</v>
      </c>
      <c r="O40" s="10">
        <f>IF(A40&lt;Holdings!$G$24,"",M40/N40-1)</f>
        <v>-3.4977425017680419E-2</v>
      </c>
      <c r="P40" s="11">
        <f>IF(A40&lt;Holdings!$G$24,"",IF(History!H40&gt;0,History!H40/INDEX(History!$H$7:$H$136,MATCH(Holdings!$G$24,History!$A$7:$A$136,0))*100,NA()))</f>
        <v>95.116391899999996</v>
      </c>
      <c r="Q40" s="10">
        <f>IF(A40&lt;=Holdings!$G$24,"",P40/P39-1)</f>
        <v>-2.963224568092615E-3</v>
      </c>
      <c r="R40" s="8">
        <f>IF(A40&gt;Portfolio!$J$5,0,-K40+IF(A40=Portfolio!$J$5,J40,0))</f>
        <v>0</v>
      </c>
      <c r="S40" s="1">
        <f>COUNTIFS(History!B40:G40,"&gt;0")</f>
        <v>6</v>
      </c>
      <c r="T40" s="1" t="str">
        <f t="shared" si="3"/>
        <v>07-May</v>
      </c>
      <c r="U40" s="10">
        <f>IF(AND(A40&lt;=Portfolio!$J$5,A40&gt;=Holdings!$G$24),O40,0)</f>
        <v>-3.4977425017680419E-2</v>
      </c>
      <c r="V40" s="12">
        <f>IF(AND(A40&gt;Holdings!$G$24,A40&lt;=Portfolio!$J$5),L40,"")</f>
        <v>-1.6667632264042442E-3</v>
      </c>
      <c r="W40" s="12">
        <f>IF(AND(A40&gt;Holdings!$G$24,A40&lt;=Portfolio!$J$5),Q40,"")</f>
        <v>-2.963224568092615E-3</v>
      </c>
    </row>
    <row r="41" spans="1:23" ht="19.95" customHeight="1" x14ac:dyDescent="0.3">
      <c r="A41" s="7">
        <v>46150</v>
      </c>
      <c r="B41" s="1">
        <f>SUMIFS(Ledger!$J$7:$J$1006,Ledger!$C$7:$C$1006,Portfolio!$C$5,Ledger!$E$7:$E$1006,History!B$6,Ledger!$B$7:$B$1006,"&lt;="&amp;$A41)</f>
        <v>100</v>
      </c>
      <c r="C41" s="1">
        <f>SUMIFS(Ledger!$J$7:$J$1006,Ledger!$C$7:$C$1006,Portfolio!$C$5,Ledger!$E$7:$E$1006,History!C$6,Ledger!$B$7:$B$1006,"&lt;="&amp;$A41)</f>
        <v>100</v>
      </c>
      <c r="D41" s="1">
        <f>SUMIFS(Ledger!$J$7:$J$1006,Ledger!$C$7:$C$1006,Portfolio!$C$5,Ledger!$E$7:$E$1006,History!D$6,Ledger!$B$7:$B$1006,"&lt;="&amp;$A41)</f>
        <v>70</v>
      </c>
      <c r="E41" s="1">
        <f>SUMIFS(Ledger!$J$7:$J$1006,Ledger!$C$7:$C$1006,Portfolio!$C$5,Ledger!$E$7:$E$1006,History!E$6,Ledger!$B$7:$B$1006,"&lt;="&amp;$A41)</f>
        <v>180</v>
      </c>
      <c r="F41" s="1">
        <f>SUMIFS(Ledger!$J$7:$J$1006,Ledger!$C$7:$C$1006,Portfolio!$C$5,Ledger!$E$7:$E$1006,History!F$6,Ledger!$B$7:$B$1006,"&lt;="&amp;$A41)</f>
        <v>400</v>
      </c>
      <c r="G41" s="1">
        <f>SUMIFS(Ledger!$J$7:$J$1006,Ledger!$C$7:$C$1006,Portfolio!$C$5,Ledger!$E$7:$E$1006,History!G$6,Ledger!$B$7:$B$1006,"&lt;="&amp;$A41)</f>
        <v>600</v>
      </c>
      <c r="H41" s="8">
        <f>SUMIFS(Ledger!$K$7:$K$1006,Ledger!$C$7:$C$1006,Portfolio!$C$5,Ledger!$B$7:$B$1006,"&lt;="&amp;$A41)</f>
        <v>78529.297999999995</v>
      </c>
      <c r="I41" s="8">
        <f>IF(S41=6,SUMPRODUCT(B41:G41,History!B41:G41),NA())</f>
        <v>462524.04</v>
      </c>
      <c r="J41" s="8">
        <f t="shared" si="2"/>
        <v>541053.33799999999</v>
      </c>
      <c r="K41" s="8">
        <f>SUMIFS(Ledger!$L$7:$L$1006,Ledger!$C$7:$C$1006,Portfolio!$C$5,Ledger!$B$7:$B$1006,$A41)</f>
        <v>0</v>
      </c>
      <c r="L41" s="10">
        <f>IF(A41&lt;Holdings!$G$24,"",IF(A41=Holdings!$G$24,IF(K41&gt;0,J41/K41-1,NA()),IF(J40&gt;0,(J41-K41)/J40-1,NA())))</f>
        <v>1.8415253838115486E-3</v>
      </c>
      <c r="M41" s="11">
        <f>IF(A41&lt;Holdings!$G$24,"",IF(A41=Holdings!$G$24,100*(1+L41),M40*(1+L41)))</f>
        <v>98.217545810087017</v>
      </c>
      <c r="N41" s="11">
        <f>IF(A41&lt;Holdings!$G$24,"",IF(A41=Holdings!$G$24,MAX(100,M41),MAX(N40,M41)))</f>
        <v>101.59037800000002</v>
      </c>
      <c r="O41" s="10">
        <f>IF(A41&lt;Holdings!$G$24,"",M41/N41-1)</f>
        <v>-3.3200311449899322E-2</v>
      </c>
      <c r="P41" s="11">
        <f>IF(A41&lt;Holdings!$G$24,"",IF(History!H41&gt;0,History!H41/INDEX(History!$H$7:$H$136,MATCH(Holdings!$G$24,History!$A$7:$A$136,0))*100,NA()))</f>
        <v>95.382601300000005</v>
      </c>
      <c r="Q41" s="10">
        <f>IF(A41&lt;=Holdings!$G$24,"",P41/P40-1)</f>
        <v>2.7987752130032018E-3</v>
      </c>
      <c r="R41" s="8">
        <f>IF(A41&gt;Portfolio!$J$5,0,-K41+IF(A41=Portfolio!$J$5,J41,0))</f>
        <v>0</v>
      </c>
      <c r="S41" s="1">
        <f>COUNTIFS(History!B41:G41,"&gt;0")</f>
        <v>6</v>
      </c>
      <c r="T41" s="1" t="str">
        <f t="shared" si="3"/>
        <v>08-May</v>
      </c>
      <c r="U41" s="10">
        <f>IF(AND(A41&lt;=Portfolio!$J$5,A41&gt;=Holdings!$G$24),O41,0)</f>
        <v>-3.3200311449899322E-2</v>
      </c>
      <c r="V41" s="12">
        <f>IF(AND(A41&gt;Holdings!$G$24,A41&lt;=Portfolio!$J$5),L41,"")</f>
        <v>1.8415253838115486E-3</v>
      </c>
      <c r="W41" s="12">
        <f>IF(AND(A41&gt;Holdings!$G$24,A41&lt;=Portfolio!$J$5),Q41,"")</f>
        <v>2.7987752130032018E-3</v>
      </c>
    </row>
    <row r="42" spans="1:23" ht="19.95" customHeight="1" x14ac:dyDescent="0.3">
      <c r="A42" s="7">
        <v>46153</v>
      </c>
      <c r="B42" s="1">
        <f>SUMIFS(Ledger!$J$7:$J$1006,Ledger!$C$7:$C$1006,Portfolio!$C$5,Ledger!$E$7:$E$1006,History!B$6,Ledger!$B$7:$B$1006,"&lt;="&amp;$A42)</f>
        <v>100</v>
      </c>
      <c r="C42" s="1">
        <f>SUMIFS(Ledger!$J$7:$J$1006,Ledger!$C$7:$C$1006,Portfolio!$C$5,Ledger!$E$7:$E$1006,History!C$6,Ledger!$B$7:$B$1006,"&lt;="&amp;$A42)</f>
        <v>100</v>
      </c>
      <c r="D42" s="1">
        <f>SUMIFS(Ledger!$J$7:$J$1006,Ledger!$C$7:$C$1006,Portfolio!$C$5,Ledger!$E$7:$E$1006,History!D$6,Ledger!$B$7:$B$1006,"&lt;="&amp;$A42)</f>
        <v>70</v>
      </c>
      <c r="E42" s="1">
        <f>SUMIFS(Ledger!$J$7:$J$1006,Ledger!$C$7:$C$1006,Portfolio!$C$5,Ledger!$E$7:$E$1006,History!E$6,Ledger!$B$7:$B$1006,"&lt;="&amp;$A42)</f>
        <v>180</v>
      </c>
      <c r="F42" s="1">
        <f>SUMIFS(Ledger!$J$7:$J$1006,Ledger!$C$7:$C$1006,Portfolio!$C$5,Ledger!$E$7:$E$1006,History!F$6,Ledger!$B$7:$B$1006,"&lt;="&amp;$A42)</f>
        <v>400</v>
      </c>
      <c r="G42" s="1">
        <f>SUMIFS(Ledger!$J$7:$J$1006,Ledger!$C$7:$C$1006,Portfolio!$C$5,Ledger!$E$7:$E$1006,History!G$6,Ledger!$B$7:$B$1006,"&lt;="&amp;$A42)</f>
        <v>600</v>
      </c>
      <c r="H42" s="8">
        <f>SUMIFS(Ledger!$K$7:$K$1006,Ledger!$C$7:$C$1006,Portfolio!$C$5,Ledger!$B$7:$B$1006,"&lt;="&amp;$A42)</f>
        <v>78529.297999999995</v>
      </c>
      <c r="I42" s="8">
        <f>IF(S42=6,SUMPRODUCT(B42:G42,History!B42:G42),NA())</f>
        <v>464850.91899999999</v>
      </c>
      <c r="J42" s="8">
        <f t="shared" si="2"/>
        <v>543380.21699999995</v>
      </c>
      <c r="K42" s="8">
        <f>SUMIFS(Ledger!$L$7:$L$1006,Ledger!$C$7:$C$1006,Portfolio!$C$5,Ledger!$B$7:$B$1006,$A42)</f>
        <v>0</v>
      </c>
      <c r="L42" s="10">
        <f>IF(A42&lt;Holdings!$G$24,"",IF(A42=Holdings!$G$24,IF(K42&gt;0,J42/K42-1,NA()),IF(J41&gt;0,(J42-K42)/J41-1,NA())))</f>
        <v>4.3006462331445228E-3</v>
      </c>
      <c r="M42" s="11">
        <f>IF(A42&lt;Holdings!$G$24,"",IF(A42=Holdings!$G$24,100*(1+L42),M41*(1+L42)))</f>
        <v>98.639944728503863</v>
      </c>
      <c r="N42" s="11">
        <f>IF(A42&lt;Holdings!$G$24,"",IF(A42=Holdings!$G$24,MAX(100,M42),MAX(N41,M42)))</f>
        <v>101.59037800000002</v>
      </c>
      <c r="O42" s="10">
        <f>IF(A42&lt;Holdings!$G$24,"",M42/N42-1)</f>
        <v>-2.9042448011131095E-2</v>
      </c>
      <c r="P42" s="11">
        <f>IF(A42&lt;Holdings!$G$24,"",IF(History!H42&gt;0,History!H42/INDEX(History!$H$7:$H$136,MATCH(Holdings!$G$24,History!$A$7:$A$136,0))*100,NA()))</f>
        <v>95.495950800000003</v>
      </c>
      <c r="Q42" s="10">
        <f>IF(A42&lt;=Holdings!$G$24,"",P42/P41-1)</f>
        <v>1.1883666250984692E-3</v>
      </c>
      <c r="R42" s="8">
        <f>IF(A42&gt;Portfolio!$J$5,0,-K42+IF(A42=Portfolio!$J$5,J42,0))</f>
        <v>0</v>
      </c>
      <c r="S42" s="1">
        <f>COUNTIFS(History!B42:G42,"&gt;0")</f>
        <v>6</v>
      </c>
      <c r="T42" s="1" t="str">
        <f t="shared" si="3"/>
        <v>11-May</v>
      </c>
      <c r="U42" s="10">
        <f>IF(AND(A42&lt;=Portfolio!$J$5,A42&gt;=Holdings!$G$24),O42,0)</f>
        <v>-2.9042448011131095E-2</v>
      </c>
      <c r="V42" s="12">
        <f>IF(AND(A42&gt;Holdings!$G$24,A42&lt;=Portfolio!$J$5),L42,"")</f>
        <v>4.3006462331445228E-3</v>
      </c>
      <c r="W42" s="12">
        <f>IF(AND(A42&gt;Holdings!$G$24,A42&lt;=Portfolio!$J$5),Q42,"")</f>
        <v>1.1883666250984692E-3</v>
      </c>
    </row>
    <row r="43" spans="1:23" ht="19.95" customHeight="1" x14ac:dyDescent="0.3">
      <c r="A43" s="7">
        <v>46154</v>
      </c>
      <c r="B43" s="1">
        <f>SUMIFS(Ledger!$J$7:$J$1006,Ledger!$C$7:$C$1006,Portfolio!$C$5,Ledger!$E$7:$E$1006,History!B$6,Ledger!$B$7:$B$1006,"&lt;="&amp;$A43)</f>
        <v>100</v>
      </c>
      <c r="C43" s="1">
        <f>SUMIFS(Ledger!$J$7:$J$1006,Ledger!$C$7:$C$1006,Portfolio!$C$5,Ledger!$E$7:$E$1006,History!C$6,Ledger!$B$7:$B$1006,"&lt;="&amp;$A43)</f>
        <v>100</v>
      </c>
      <c r="D43" s="1">
        <f>SUMIFS(Ledger!$J$7:$J$1006,Ledger!$C$7:$C$1006,Portfolio!$C$5,Ledger!$E$7:$E$1006,History!D$6,Ledger!$B$7:$B$1006,"&lt;="&amp;$A43)</f>
        <v>70</v>
      </c>
      <c r="E43" s="1">
        <f>SUMIFS(Ledger!$J$7:$J$1006,Ledger!$C$7:$C$1006,Portfolio!$C$5,Ledger!$E$7:$E$1006,History!E$6,Ledger!$B$7:$B$1006,"&lt;="&amp;$A43)</f>
        <v>180</v>
      </c>
      <c r="F43" s="1">
        <f>SUMIFS(Ledger!$J$7:$J$1006,Ledger!$C$7:$C$1006,Portfolio!$C$5,Ledger!$E$7:$E$1006,History!F$6,Ledger!$B$7:$B$1006,"&lt;="&amp;$A43)</f>
        <v>400</v>
      </c>
      <c r="G43" s="1">
        <f>SUMIFS(Ledger!$J$7:$J$1006,Ledger!$C$7:$C$1006,Portfolio!$C$5,Ledger!$E$7:$E$1006,History!G$6,Ledger!$B$7:$B$1006,"&lt;="&amp;$A43)</f>
        <v>600</v>
      </c>
      <c r="H43" s="8">
        <f>SUMIFS(Ledger!$K$7:$K$1006,Ledger!$C$7:$C$1006,Portfolio!$C$5,Ledger!$B$7:$B$1006,"&lt;="&amp;$A43)</f>
        <v>78529.297999999995</v>
      </c>
      <c r="I43" s="8">
        <f>IF(S43=6,SUMPRODUCT(B43:G43,History!B43:G43),NA())</f>
        <v>466174.21600000001</v>
      </c>
      <c r="J43" s="8">
        <f t="shared" si="2"/>
        <v>544703.51399999997</v>
      </c>
      <c r="K43" s="8">
        <f>SUMIFS(Ledger!$L$7:$L$1006,Ledger!$C$7:$C$1006,Portfolio!$C$5,Ledger!$B$7:$B$1006,$A43)</f>
        <v>0</v>
      </c>
      <c r="L43" s="10">
        <f>IF(A43&lt;Holdings!$G$24,"",IF(A43=Holdings!$G$24,IF(K43&gt;0,J43/K43-1,NA()),IF(J42&gt;0,(J43-K43)/J42-1,NA())))</f>
        <v>2.4353058109216619E-3</v>
      </c>
      <c r="M43" s="11">
        <f>IF(A43&lt;Holdings!$G$24,"",IF(A43=Holdings!$G$24,100*(1+L43),M42*(1+L43)))</f>
        <v>98.880163159090174</v>
      </c>
      <c r="N43" s="11">
        <f>IF(A43&lt;Holdings!$G$24,"",IF(A43=Holdings!$G$24,MAX(100,M43),MAX(N42,M43)))</f>
        <v>101.59037800000002</v>
      </c>
      <c r="O43" s="10">
        <f>IF(A43&lt;Holdings!$G$24,"",M43/N43-1)</f>
        <v>-2.6677869442614299E-2</v>
      </c>
      <c r="P43" s="11">
        <f>IF(A43&lt;Holdings!$G$24,"",IF(History!H43&gt;0,History!H43/INDEX(History!$H$7:$H$136,MATCH(Holdings!$G$24,History!$A$7:$A$136,0))*100,NA()))</f>
        <v>94.923890999999998</v>
      </c>
      <c r="Q43" s="10">
        <f>IF(A43&lt;=Holdings!$G$24,"",P43/P42-1)</f>
        <v>-5.9904089671622973E-3</v>
      </c>
      <c r="R43" s="8">
        <f>IF(A43&gt;Portfolio!$J$5,0,-K43+IF(A43=Portfolio!$J$5,J43,0))</f>
        <v>0</v>
      </c>
      <c r="S43" s="1">
        <f>COUNTIFS(History!B43:G43,"&gt;0")</f>
        <v>6</v>
      </c>
      <c r="T43" s="1" t="str">
        <f t="shared" si="3"/>
        <v>12-May</v>
      </c>
      <c r="U43" s="10">
        <f>IF(AND(A43&lt;=Portfolio!$J$5,A43&gt;=Holdings!$G$24),O43,0)</f>
        <v>-2.6677869442614299E-2</v>
      </c>
      <c r="V43" s="12">
        <f>IF(AND(A43&gt;Holdings!$G$24,A43&lt;=Portfolio!$J$5),L43,"")</f>
        <v>2.4353058109216619E-3</v>
      </c>
      <c r="W43" s="12">
        <f>IF(AND(A43&gt;Holdings!$G$24,A43&lt;=Portfolio!$J$5),Q43,"")</f>
        <v>-5.9904089671622973E-3</v>
      </c>
    </row>
    <row r="44" spans="1:23" ht="19.95" customHeight="1" x14ac:dyDescent="0.3">
      <c r="A44" s="7">
        <v>46155</v>
      </c>
      <c r="B44" s="1">
        <f>SUMIFS(Ledger!$J$7:$J$1006,Ledger!$C$7:$C$1006,Portfolio!$C$5,Ledger!$E$7:$E$1006,History!B$6,Ledger!$B$7:$B$1006,"&lt;="&amp;$A44)</f>
        <v>100</v>
      </c>
      <c r="C44" s="1">
        <f>SUMIFS(Ledger!$J$7:$J$1006,Ledger!$C$7:$C$1006,Portfolio!$C$5,Ledger!$E$7:$E$1006,History!C$6,Ledger!$B$7:$B$1006,"&lt;="&amp;$A44)</f>
        <v>100</v>
      </c>
      <c r="D44" s="1">
        <f>SUMIFS(Ledger!$J$7:$J$1006,Ledger!$C$7:$C$1006,Portfolio!$C$5,Ledger!$E$7:$E$1006,History!D$6,Ledger!$B$7:$B$1006,"&lt;="&amp;$A44)</f>
        <v>70</v>
      </c>
      <c r="E44" s="1">
        <f>SUMIFS(Ledger!$J$7:$J$1006,Ledger!$C$7:$C$1006,Portfolio!$C$5,Ledger!$E$7:$E$1006,History!E$6,Ledger!$B$7:$B$1006,"&lt;="&amp;$A44)</f>
        <v>180</v>
      </c>
      <c r="F44" s="1">
        <f>SUMIFS(Ledger!$J$7:$J$1006,Ledger!$C$7:$C$1006,Portfolio!$C$5,Ledger!$E$7:$E$1006,History!F$6,Ledger!$B$7:$B$1006,"&lt;="&amp;$A44)</f>
        <v>400</v>
      </c>
      <c r="G44" s="1">
        <f>SUMIFS(Ledger!$J$7:$J$1006,Ledger!$C$7:$C$1006,Portfolio!$C$5,Ledger!$E$7:$E$1006,History!G$6,Ledger!$B$7:$B$1006,"&lt;="&amp;$A44)</f>
        <v>600</v>
      </c>
      <c r="H44" s="8">
        <f>SUMIFS(Ledger!$K$7:$K$1006,Ledger!$C$7:$C$1006,Portfolio!$C$5,Ledger!$B$7:$B$1006,"&lt;="&amp;$A44)</f>
        <v>78529.297999999995</v>
      </c>
      <c r="I44" s="8">
        <f>IF(S44=6,SUMPRODUCT(B44:G44,History!B44:G44),NA())</f>
        <v>469370.38500000001</v>
      </c>
      <c r="J44" s="8">
        <f t="shared" si="2"/>
        <v>547899.68299999996</v>
      </c>
      <c r="K44" s="8">
        <f>SUMIFS(Ledger!$L$7:$L$1006,Ledger!$C$7:$C$1006,Portfolio!$C$5,Ledger!$B$7:$B$1006,$A44)</f>
        <v>0</v>
      </c>
      <c r="L44" s="10">
        <f>IF(A44&lt;Holdings!$G$24,"",IF(A44=Holdings!$G$24,IF(K44&gt;0,J44/K44-1,NA()),IF(J43&gt;0,(J44-K44)/J43-1,NA())))</f>
        <v>5.8677223808032419E-3</v>
      </c>
      <c r="M44" s="11">
        <f>IF(A44&lt;Holdings!$G$24,"",IF(A44=Holdings!$G$24,100*(1+L44),M43*(1+L44)))</f>
        <v>99.46036450547625</v>
      </c>
      <c r="N44" s="11">
        <f>IF(A44&lt;Holdings!$G$24,"",IF(A44=Holdings!$G$24,MAX(100,M44),MAX(N43,M44)))</f>
        <v>101.59037800000002</v>
      </c>
      <c r="O44" s="10">
        <f>IF(A44&lt;Holdings!$G$24,"",M44/N44-1)</f>
        <v>-2.0966685393411622E-2</v>
      </c>
      <c r="P44" s="11">
        <f>IF(A44&lt;Holdings!$G$24,"",IF(History!H44&gt;0,History!H44/INDEX(History!$H$7:$H$136,MATCH(Holdings!$G$24,History!$A$7:$A$136,0))*100,NA()))</f>
        <v>95.365521999999999</v>
      </c>
      <c r="Q44" s="10">
        <f>IF(A44&lt;=Holdings!$G$24,"",P44/P43-1)</f>
        <v>4.6524746862726118E-3</v>
      </c>
      <c r="R44" s="8">
        <f>IF(A44&gt;Portfolio!$J$5,0,-K44+IF(A44=Portfolio!$J$5,J44,0))</f>
        <v>0</v>
      </c>
      <c r="S44" s="1">
        <f>COUNTIFS(History!B44:G44,"&gt;0")</f>
        <v>6</v>
      </c>
      <c r="T44" s="1" t="str">
        <f t="shared" si="3"/>
        <v>13-May</v>
      </c>
      <c r="U44" s="10">
        <f>IF(AND(A44&lt;=Portfolio!$J$5,A44&gt;=Holdings!$G$24),O44,0)</f>
        <v>-2.0966685393411622E-2</v>
      </c>
      <c r="V44" s="12">
        <f>IF(AND(A44&gt;Holdings!$G$24,A44&lt;=Portfolio!$J$5),L44,"")</f>
        <v>5.8677223808032419E-3</v>
      </c>
      <c r="W44" s="12">
        <f>IF(AND(A44&gt;Holdings!$G$24,A44&lt;=Portfolio!$J$5),Q44,"")</f>
        <v>4.6524746862726118E-3</v>
      </c>
    </row>
    <row r="45" spans="1:23" ht="19.95" customHeight="1" x14ac:dyDescent="0.3">
      <c r="A45" s="7">
        <v>46156</v>
      </c>
      <c r="B45" s="1">
        <f>SUMIFS(Ledger!$J$7:$J$1006,Ledger!$C$7:$C$1006,Portfolio!$C$5,Ledger!$E$7:$E$1006,History!B$6,Ledger!$B$7:$B$1006,"&lt;="&amp;$A45)</f>
        <v>100</v>
      </c>
      <c r="C45" s="1">
        <f>SUMIFS(Ledger!$J$7:$J$1006,Ledger!$C$7:$C$1006,Portfolio!$C$5,Ledger!$E$7:$E$1006,History!C$6,Ledger!$B$7:$B$1006,"&lt;="&amp;$A45)</f>
        <v>100</v>
      </c>
      <c r="D45" s="1">
        <f>SUMIFS(Ledger!$J$7:$J$1006,Ledger!$C$7:$C$1006,Portfolio!$C$5,Ledger!$E$7:$E$1006,History!D$6,Ledger!$B$7:$B$1006,"&lt;="&amp;$A45)</f>
        <v>70</v>
      </c>
      <c r="E45" s="1">
        <f>SUMIFS(Ledger!$J$7:$J$1006,Ledger!$C$7:$C$1006,Portfolio!$C$5,Ledger!$E$7:$E$1006,History!E$6,Ledger!$B$7:$B$1006,"&lt;="&amp;$A45)</f>
        <v>180</v>
      </c>
      <c r="F45" s="1">
        <f>SUMIFS(Ledger!$J$7:$J$1006,Ledger!$C$7:$C$1006,Portfolio!$C$5,Ledger!$E$7:$E$1006,History!F$6,Ledger!$B$7:$B$1006,"&lt;="&amp;$A45)</f>
        <v>400</v>
      </c>
      <c r="G45" s="1">
        <f>SUMIFS(Ledger!$J$7:$J$1006,Ledger!$C$7:$C$1006,Portfolio!$C$5,Ledger!$E$7:$E$1006,History!G$6,Ledger!$B$7:$B$1006,"&lt;="&amp;$A45)</f>
        <v>600</v>
      </c>
      <c r="H45" s="8">
        <f>SUMIFS(Ledger!$K$7:$K$1006,Ledger!$C$7:$C$1006,Portfolio!$C$5,Ledger!$B$7:$B$1006,"&lt;="&amp;$A45)</f>
        <v>78529.297999999995</v>
      </c>
      <c r="I45" s="8">
        <f>IF(S45=6,SUMPRODUCT(B45:G45,History!B45:G45),NA())</f>
        <v>467684.30700000003</v>
      </c>
      <c r="J45" s="8">
        <f t="shared" si="2"/>
        <v>546213.60499999998</v>
      </c>
      <c r="K45" s="8">
        <f>SUMIFS(Ledger!$L$7:$L$1006,Ledger!$C$7:$C$1006,Portfolio!$C$5,Ledger!$B$7:$B$1006,$A45)</f>
        <v>0</v>
      </c>
      <c r="L45" s="10">
        <f>IF(A45&lt;Holdings!$G$24,"",IF(A45=Holdings!$G$24,IF(K45&gt;0,J45/K45-1,NA()),IF(J44&gt;0,(J45-K45)/J44-1,NA())))</f>
        <v>-3.0773480115336982E-3</v>
      </c>
      <c r="M45" s="11">
        <f>IF(A45&lt;Holdings!$G$24,"",IF(A45=Holdings!$G$24,100*(1+L45),M44*(1+L45)))</f>
        <v>99.154290350538901</v>
      </c>
      <c r="N45" s="11">
        <f>IF(A45&lt;Holdings!$G$24,"",IF(A45=Holdings!$G$24,MAX(100,M45),MAX(N44,M45)))</f>
        <v>101.59037800000002</v>
      </c>
      <c r="O45" s="10">
        <f>IF(A45&lt;Holdings!$G$24,"",M45/N45-1)</f>
        <v>-2.3979511617341465E-2</v>
      </c>
      <c r="P45" s="11">
        <f>IF(A45&lt;Holdings!$G$24,"",IF(History!H45&gt;0,History!H45/INDEX(History!$H$7:$H$136,MATCH(Holdings!$G$24,History!$A$7:$A$136,0))*100,NA()))</f>
        <v>95.569776300000001</v>
      </c>
      <c r="Q45" s="10">
        <f>IF(A45&lt;=Holdings!$G$24,"",P45/P44-1)</f>
        <v>2.1418044563317196E-3</v>
      </c>
      <c r="R45" s="8">
        <f>IF(A45&gt;Portfolio!$J$5,0,-K45+IF(A45=Portfolio!$J$5,J45,0))</f>
        <v>0</v>
      </c>
      <c r="S45" s="1">
        <f>COUNTIFS(History!B45:G45,"&gt;0")</f>
        <v>6</v>
      </c>
      <c r="T45" s="1" t="str">
        <f t="shared" si="3"/>
        <v>14-May</v>
      </c>
      <c r="U45" s="10">
        <f>IF(AND(A45&lt;=Portfolio!$J$5,A45&gt;=Holdings!$G$24),O45,0)</f>
        <v>-2.3979511617341465E-2</v>
      </c>
      <c r="V45" s="12">
        <f>IF(AND(A45&gt;Holdings!$G$24,A45&lt;=Portfolio!$J$5),L45,"")</f>
        <v>-3.0773480115336982E-3</v>
      </c>
      <c r="W45" s="12">
        <f>IF(AND(A45&gt;Holdings!$G$24,A45&lt;=Portfolio!$J$5),Q45,"")</f>
        <v>2.1418044563317196E-3</v>
      </c>
    </row>
    <row r="46" spans="1:23" ht="19.95" customHeight="1" x14ac:dyDescent="0.3">
      <c r="A46" s="7">
        <v>46157</v>
      </c>
      <c r="B46" s="1">
        <f>SUMIFS(Ledger!$J$7:$J$1006,Ledger!$C$7:$C$1006,Portfolio!$C$5,Ledger!$E$7:$E$1006,History!B$6,Ledger!$B$7:$B$1006,"&lt;="&amp;$A46)</f>
        <v>100</v>
      </c>
      <c r="C46" s="1">
        <f>SUMIFS(Ledger!$J$7:$J$1006,Ledger!$C$7:$C$1006,Portfolio!$C$5,Ledger!$E$7:$E$1006,History!C$6,Ledger!$B$7:$B$1006,"&lt;="&amp;$A46)</f>
        <v>100</v>
      </c>
      <c r="D46" s="1">
        <f>SUMIFS(Ledger!$J$7:$J$1006,Ledger!$C$7:$C$1006,Portfolio!$C$5,Ledger!$E$7:$E$1006,History!D$6,Ledger!$B$7:$B$1006,"&lt;="&amp;$A46)</f>
        <v>70</v>
      </c>
      <c r="E46" s="1">
        <f>SUMIFS(Ledger!$J$7:$J$1006,Ledger!$C$7:$C$1006,Portfolio!$C$5,Ledger!$E$7:$E$1006,History!E$6,Ledger!$B$7:$B$1006,"&lt;="&amp;$A46)</f>
        <v>180</v>
      </c>
      <c r="F46" s="1">
        <f>SUMIFS(Ledger!$J$7:$J$1006,Ledger!$C$7:$C$1006,Portfolio!$C$5,Ledger!$E$7:$E$1006,History!F$6,Ledger!$B$7:$B$1006,"&lt;="&amp;$A46)</f>
        <v>400</v>
      </c>
      <c r="G46" s="1">
        <f>SUMIFS(Ledger!$J$7:$J$1006,Ledger!$C$7:$C$1006,Portfolio!$C$5,Ledger!$E$7:$E$1006,History!G$6,Ledger!$B$7:$B$1006,"&lt;="&amp;$A46)</f>
        <v>600</v>
      </c>
      <c r="H46" s="8">
        <f>SUMIFS(Ledger!$K$7:$K$1006,Ledger!$C$7:$C$1006,Portfolio!$C$5,Ledger!$B$7:$B$1006,"&lt;="&amp;$A46)</f>
        <v>78529.297999999995</v>
      </c>
      <c r="I46" s="8">
        <f>IF(S46=6,SUMPRODUCT(B46:G46,History!B46:G46),NA())</f>
        <v>464970.35600000003</v>
      </c>
      <c r="J46" s="8">
        <f t="shared" si="2"/>
        <v>543499.65399999998</v>
      </c>
      <c r="K46" s="8">
        <f>SUMIFS(Ledger!$L$7:$L$1006,Ledger!$C$7:$C$1006,Portfolio!$C$5,Ledger!$B$7:$B$1006,$A46)</f>
        <v>0</v>
      </c>
      <c r="L46" s="10">
        <f>IF(A46&lt;Holdings!$G$24,"",IF(A46=Holdings!$G$24,IF(K46&gt;0,J46/K46-1,NA()),IF(J45&gt;0,(J46-K46)/J45-1,NA())))</f>
        <v>-4.9686623971952892E-3</v>
      </c>
      <c r="M46" s="11">
        <f>IF(A46&lt;Holdings!$G$24,"",IF(A46=Holdings!$G$24,100*(1+L46),M45*(1+L46)))</f>
        <v>98.661626156553595</v>
      </c>
      <c r="N46" s="11">
        <f>IF(A46&lt;Holdings!$G$24,"",IF(A46=Holdings!$G$24,MAX(100,M46),MAX(N45,M46)))</f>
        <v>101.59037800000002</v>
      </c>
      <c r="O46" s="10">
        <f>IF(A46&lt;Holdings!$G$24,"",M46/N46-1)</f>
        <v>-2.8829027916860595E-2</v>
      </c>
      <c r="P46" s="11">
        <f>IF(A46&lt;Holdings!$G$24,"",IF(History!H46&gt;0,History!H46/INDEX(History!$H$7:$H$136,MATCH(Holdings!$G$24,History!$A$7:$A$136,0))*100,NA()))</f>
        <v>94.821611200000007</v>
      </c>
      <c r="Q46" s="10">
        <f>IF(A46&lt;=Holdings!$G$24,"",P46/P45-1)</f>
        <v>-7.8284697209236587E-3</v>
      </c>
      <c r="R46" s="8">
        <f>IF(A46&gt;Portfolio!$J$5,0,-K46+IF(A46=Portfolio!$J$5,J46,0))</f>
        <v>0</v>
      </c>
      <c r="S46" s="1">
        <f>COUNTIFS(History!B46:G46,"&gt;0")</f>
        <v>6</v>
      </c>
      <c r="T46" s="1" t="str">
        <f t="shared" si="3"/>
        <v>15-May</v>
      </c>
      <c r="U46" s="10">
        <f>IF(AND(A46&lt;=Portfolio!$J$5,A46&gt;=Holdings!$G$24),O46,0)</f>
        <v>-2.8829027916860595E-2</v>
      </c>
      <c r="V46" s="12">
        <f>IF(AND(A46&gt;Holdings!$G$24,A46&lt;=Portfolio!$J$5),L46,"")</f>
        <v>-4.9686623971952892E-3</v>
      </c>
      <c r="W46" s="12">
        <f>IF(AND(A46&gt;Holdings!$G$24,A46&lt;=Portfolio!$J$5),Q46,"")</f>
        <v>-7.8284697209236587E-3</v>
      </c>
    </row>
    <row r="47" spans="1:23" ht="19.95" customHeight="1" x14ac:dyDescent="0.3">
      <c r="A47" s="7">
        <v>46160</v>
      </c>
      <c r="B47" s="1">
        <f>SUMIFS(Ledger!$J$7:$J$1006,Ledger!$C$7:$C$1006,Portfolio!$C$5,Ledger!$E$7:$E$1006,History!B$6,Ledger!$B$7:$B$1006,"&lt;="&amp;$A47)</f>
        <v>100</v>
      </c>
      <c r="C47" s="1">
        <f>SUMIFS(Ledger!$J$7:$J$1006,Ledger!$C$7:$C$1006,Portfolio!$C$5,Ledger!$E$7:$E$1006,History!C$6,Ledger!$B$7:$B$1006,"&lt;="&amp;$A47)</f>
        <v>100</v>
      </c>
      <c r="D47" s="1">
        <f>SUMIFS(Ledger!$J$7:$J$1006,Ledger!$C$7:$C$1006,Portfolio!$C$5,Ledger!$E$7:$E$1006,History!D$6,Ledger!$B$7:$B$1006,"&lt;="&amp;$A47)</f>
        <v>70</v>
      </c>
      <c r="E47" s="1">
        <f>SUMIFS(Ledger!$J$7:$J$1006,Ledger!$C$7:$C$1006,Portfolio!$C$5,Ledger!$E$7:$E$1006,History!E$6,Ledger!$B$7:$B$1006,"&lt;="&amp;$A47)</f>
        <v>180</v>
      </c>
      <c r="F47" s="1">
        <f>SUMIFS(Ledger!$J$7:$J$1006,Ledger!$C$7:$C$1006,Portfolio!$C$5,Ledger!$E$7:$E$1006,History!F$6,Ledger!$B$7:$B$1006,"&lt;="&amp;$A47)</f>
        <v>480</v>
      </c>
      <c r="G47" s="1">
        <f>SUMIFS(Ledger!$J$7:$J$1006,Ledger!$C$7:$C$1006,Portfolio!$C$5,Ledger!$E$7:$E$1006,History!G$6,Ledger!$B$7:$B$1006,"&lt;="&amp;$A47)</f>
        <v>600</v>
      </c>
      <c r="H47" s="8">
        <f>SUMIFS(Ledger!$K$7:$K$1006,Ledger!$C$7:$C$1006,Portfolio!$C$5,Ledger!$B$7:$B$1006,"&lt;="&amp;$A47)</f>
        <v>58660.273999999998</v>
      </c>
      <c r="I47" s="8">
        <f>IF(S47=6,SUMPRODUCT(B47:G47,History!B47:G47),NA())</f>
        <v>483836.84100000001</v>
      </c>
      <c r="J47" s="8">
        <f t="shared" si="2"/>
        <v>542497.11499999999</v>
      </c>
      <c r="K47" s="8">
        <f>SUMIFS(Ledger!$L$7:$L$1006,Ledger!$C$7:$C$1006,Portfolio!$C$5,Ledger!$B$7:$B$1006,$A47)</f>
        <v>0</v>
      </c>
      <c r="L47" s="10">
        <f>IF(A47&lt;Holdings!$G$24,"",IF(A47=Holdings!$G$24,IF(K47&gt;0,J47/K47-1,NA()),IF(J46&gt;0,(J47-K47)/J46-1,NA())))</f>
        <v>-1.8445991503796E-3</v>
      </c>
      <c r="M47" s="11">
        <f>IF(A47&lt;Holdings!$G$24,"",IF(A47=Holdings!$G$24,100*(1+L47),M46*(1+L47)))</f>
        <v>98.479635004770145</v>
      </c>
      <c r="N47" s="11">
        <f>IF(A47&lt;Holdings!$G$24,"",IF(A47=Holdings!$G$24,MAX(100,M47),MAX(N46,M47)))</f>
        <v>101.59037800000002</v>
      </c>
      <c r="O47" s="10">
        <f>IF(A47&lt;Holdings!$G$24,"",M47/N47-1)</f>
        <v>-3.0620449066838473E-2</v>
      </c>
      <c r="P47" s="11">
        <f>IF(A47&lt;Holdings!$G$24,"",IF(History!H47&gt;0,History!H47/INDEX(History!$H$7:$H$136,MATCH(Holdings!$G$24,History!$A$7:$A$136,0))*100,NA()))</f>
        <v>94.245118000000005</v>
      </c>
      <c r="Q47" s="10">
        <f>IF(A47&lt;=Holdings!$G$24,"",P47/P46-1)</f>
        <v>-6.0797659173291718E-3</v>
      </c>
      <c r="R47" s="8">
        <f>IF(A47&gt;Portfolio!$J$5,0,-K47+IF(A47=Portfolio!$J$5,J47,0))</f>
        <v>0</v>
      </c>
      <c r="S47" s="1">
        <f>COUNTIFS(History!B47:G47,"&gt;0")</f>
        <v>6</v>
      </c>
      <c r="T47" s="1" t="str">
        <f t="shared" si="3"/>
        <v>18-May</v>
      </c>
      <c r="U47" s="10">
        <f>IF(AND(A47&lt;=Portfolio!$J$5,A47&gt;=Holdings!$G$24),O47,0)</f>
        <v>-3.0620449066838473E-2</v>
      </c>
      <c r="V47" s="12">
        <f>IF(AND(A47&gt;Holdings!$G$24,A47&lt;=Portfolio!$J$5),L47,"")</f>
        <v>-1.8445991503796E-3</v>
      </c>
      <c r="W47" s="12">
        <f>IF(AND(A47&gt;Holdings!$G$24,A47&lt;=Portfolio!$J$5),Q47,"")</f>
        <v>-6.0797659173291718E-3</v>
      </c>
    </row>
    <row r="48" spans="1:23" ht="19.95" customHeight="1" x14ac:dyDescent="0.3">
      <c r="A48" s="7">
        <v>46161</v>
      </c>
      <c r="B48" s="1">
        <f>SUMIFS(Ledger!$J$7:$J$1006,Ledger!$C$7:$C$1006,Portfolio!$C$5,Ledger!$E$7:$E$1006,History!B$6,Ledger!$B$7:$B$1006,"&lt;="&amp;$A48)</f>
        <v>100</v>
      </c>
      <c r="C48" s="1">
        <f>SUMIFS(Ledger!$J$7:$J$1006,Ledger!$C$7:$C$1006,Portfolio!$C$5,Ledger!$E$7:$E$1006,History!C$6,Ledger!$B$7:$B$1006,"&lt;="&amp;$A48)</f>
        <v>100</v>
      </c>
      <c r="D48" s="1">
        <f>SUMIFS(Ledger!$J$7:$J$1006,Ledger!$C$7:$C$1006,Portfolio!$C$5,Ledger!$E$7:$E$1006,History!D$6,Ledger!$B$7:$B$1006,"&lt;="&amp;$A48)</f>
        <v>70</v>
      </c>
      <c r="E48" s="1">
        <f>SUMIFS(Ledger!$J$7:$J$1006,Ledger!$C$7:$C$1006,Portfolio!$C$5,Ledger!$E$7:$E$1006,History!E$6,Ledger!$B$7:$B$1006,"&lt;="&amp;$A48)</f>
        <v>180</v>
      </c>
      <c r="F48" s="1">
        <f>SUMIFS(Ledger!$J$7:$J$1006,Ledger!$C$7:$C$1006,Portfolio!$C$5,Ledger!$E$7:$E$1006,History!F$6,Ledger!$B$7:$B$1006,"&lt;="&amp;$A48)</f>
        <v>480</v>
      </c>
      <c r="G48" s="1">
        <f>SUMIFS(Ledger!$J$7:$J$1006,Ledger!$C$7:$C$1006,Portfolio!$C$5,Ledger!$E$7:$E$1006,History!G$6,Ledger!$B$7:$B$1006,"&lt;="&amp;$A48)</f>
        <v>600</v>
      </c>
      <c r="H48" s="8">
        <f>SUMIFS(Ledger!$K$7:$K$1006,Ledger!$C$7:$C$1006,Portfolio!$C$5,Ledger!$B$7:$B$1006,"&lt;="&amp;$A48)</f>
        <v>58660.273999999998</v>
      </c>
      <c r="I48" s="8">
        <f>IF(S48=6,SUMPRODUCT(B48:G48,History!B48:G48),NA())</f>
        <v>480953.07</v>
      </c>
      <c r="J48" s="8">
        <f t="shared" si="2"/>
        <v>539613.34400000004</v>
      </c>
      <c r="K48" s="8">
        <f>SUMIFS(Ledger!$L$7:$L$1006,Ledger!$C$7:$C$1006,Portfolio!$C$5,Ledger!$B$7:$B$1006,$A48)</f>
        <v>0</v>
      </c>
      <c r="L48" s="10">
        <f>IF(A48&lt;Holdings!$G$24,"",IF(A48=Holdings!$G$24,IF(K48&gt;0,J48/K48-1,NA()),IF(J47&gt;0,(J48-K48)/J47-1,NA())))</f>
        <v>-5.3157351813750697E-3</v>
      </c>
      <c r="M48" s="11">
        <f>IF(A48&lt;Holdings!$G$24,"",IF(A48=Holdings!$G$24,100*(1+L48),M47*(1+L48)))</f>
        <v>97.956143344326307</v>
      </c>
      <c r="N48" s="11">
        <f>IF(A48&lt;Holdings!$G$24,"",IF(A48=Holdings!$G$24,MAX(100,M48),MAX(N47,M48)))</f>
        <v>101.59037800000002</v>
      </c>
      <c r="O48" s="10">
        <f>IF(A48&lt;Holdings!$G$24,"",M48/N48-1)</f>
        <v>-3.5773414049839469E-2</v>
      </c>
      <c r="P48" s="11">
        <f>IF(A48&lt;Holdings!$G$24,"",IF(History!H48&gt;0,History!H48/INDEX(History!$H$7:$H$136,MATCH(Holdings!$G$24,History!$A$7:$A$136,0))*100,NA()))</f>
        <v>93.625772900000001</v>
      </c>
      <c r="Q48" s="10">
        <f>IF(A48&lt;=Holdings!$G$24,"",P48/P47-1)</f>
        <v>-6.571641196311151E-3</v>
      </c>
      <c r="R48" s="8">
        <f>IF(A48&gt;Portfolio!$J$5,0,-K48+IF(A48=Portfolio!$J$5,J48,0))</f>
        <v>0</v>
      </c>
      <c r="S48" s="1">
        <f>COUNTIFS(History!B48:G48,"&gt;0")</f>
        <v>6</v>
      </c>
      <c r="T48" s="1" t="str">
        <f t="shared" si="3"/>
        <v>19-May</v>
      </c>
      <c r="U48" s="10">
        <f>IF(AND(A48&lt;=Portfolio!$J$5,A48&gt;=Holdings!$G$24),O48,0)</f>
        <v>-3.5773414049839469E-2</v>
      </c>
      <c r="V48" s="12">
        <f>IF(AND(A48&gt;Holdings!$G$24,A48&lt;=Portfolio!$J$5),L48,"")</f>
        <v>-5.3157351813750697E-3</v>
      </c>
      <c r="W48" s="12">
        <f>IF(AND(A48&gt;Holdings!$G$24,A48&lt;=Portfolio!$J$5),Q48,"")</f>
        <v>-6.571641196311151E-3</v>
      </c>
    </row>
    <row r="49" spans="1:23" ht="19.95" customHeight="1" x14ac:dyDescent="0.3">
      <c r="A49" s="7">
        <v>46162</v>
      </c>
      <c r="B49" s="1">
        <f>SUMIFS(Ledger!$J$7:$J$1006,Ledger!$C$7:$C$1006,Portfolio!$C$5,Ledger!$E$7:$E$1006,History!B$6,Ledger!$B$7:$B$1006,"&lt;="&amp;$A49)</f>
        <v>100</v>
      </c>
      <c r="C49" s="1">
        <f>SUMIFS(Ledger!$J$7:$J$1006,Ledger!$C$7:$C$1006,Portfolio!$C$5,Ledger!$E$7:$E$1006,History!C$6,Ledger!$B$7:$B$1006,"&lt;="&amp;$A49)</f>
        <v>100</v>
      </c>
      <c r="D49" s="1">
        <f>SUMIFS(Ledger!$J$7:$J$1006,Ledger!$C$7:$C$1006,Portfolio!$C$5,Ledger!$E$7:$E$1006,History!D$6,Ledger!$B$7:$B$1006,"&lt;="&amp;$A49)</f>
        <v>70</v>
      </c>
      <c r="E49" s="1">
        <f>SUMIFS(Ledger!$J$7:$J$1006,Ledger!$C$7:$C$1006,Portfolio!$C$5,Ledger!$E$7:$E$1006,History!E$6,Ledger!$B$7:$B$1006,"&lt;="&amp;$A49)</f>
        <v>180</v>
      </c>
      <c r="F49" s="1">
        <f>SUMIFS(Ledger!$J$7:$J$1006,Ledger!$C$7:$C$1006,Portfolio!$C$5,Ledger!$E$7:$E$1006,History!F$6,Ledger!$B$7:$B$1006,"&lt;="&amp;$A49)</f>
        <v>480</v>
      </c>
      <c r="G49" s="1">
        <f>SUMIFS(Ledger!$J$7:$J$1006,Ledger!$C$7:$C$1006,Portfolio!$C$5,Ledger!$E$7:$E$1006,History!G$6,Ledger!$B$7:$B$1006,"&lt;="&amp;$A49)</f>
        <v>600</v>
      </c>
      <c r="H49" s="8">
        <f>SUMIFS(Ledger!$K$7:$K$1006,Ledger!$C$7:$C$1006,Portfolio!$C$5,Ledger!$B$7:$B$1006,"&lt;="&amp;$A49)</f>
        <v>58660.273999999998</v>
      </c>
      <c r="I49" s="8">
        <f>IF(S49=6,SUMPRODUCT(B49:G49,History!B49:G49),NA())</f>
        <v>481831.99899999995</v>
      </c>
      <c r="J49" s="8">
        <f t="shared" si="2"/>
        <v>540492.27299999993</v>
      </c>
      <c r="K49" s="8">
        <f>SUMIFS(Ledger!$L$7:$L$1006,Ledger!$C$7:$C$1006,Portfolio!$C$5,Ledger!$B$7:$B$1006,$A49)</f>
        <v>0</v>
      </c>
      <c r="L49" s="10">
        <f>IF(A49&lt;Holdings!$G$24,"",IF(A49=Holdings!$G$24,IF(K49&gt;0,J49/K49-1,NA()),IF(J48&gt;0,(J49-K49)/J48-1,NA())))</f>
        <v>1.6288125743604276E-3</v>
      </c>
      <c r="M49" s="11">
        <f>IF(A49&lt;Holdings!$G$24,"",IF(A49=Holdings!$G$24,100*(1+L49),M48*(1+L49)))</f>
        <v>98.115695542341399</v>
      </c>
      <c r="N49" s="11">
        <f>IF(A49&lt;Holdings!$G$24,"",IF(A49=Holdings!$G$24,MAX(100,M49),MAX(N48,M49)))</f>
        <v>101.59037800000002</v>
      </c>
      <c r="O49" s="10">
        <f>IF(A49&lt;Holdings!$G$24,"",M49/N49-1)</f>
        <v>-3.4202869662111279E-2</v>
      </c>
      <c r="P49" s="11">
        <f>IF(A49&lt;Holdings!$G$24,"",IF(History!H49&gt;0,History!H49/INDEX(History!$H$7:$H$136,MATCH(Holdings!$G$24,History!$A$7:$A$136,0))*100,NA()))</f>
        <v>94.044138799999999</v>
      </c>
      <c r="Q49" s="10">
        <f>IF(A49&lt;=Holdings!$G$24,"",P49/P48-1)</f>
        <v>4.4684907482348546E-3</v>
      </c>
      <c r="R49" s="8">
        <f>IF(A49&gt;Portfolio!$J$5,0,-K49+IF(A49=Portfolio!$J$5,J49,0))</f>
        <v>0</v>
      </c>
      <c r="S49" s="1">
        <f>COUNTIFS(History!B49:G49,"&gt;0")</f>
        <v>6</v>
      </c>
      <c r="T49" s="1" t="str">
        <f t="shared" si="3"/>
        <v>20-May</v>
      </c>
      <c r="U49" s="10">
        <f>IF(AND(A49&lt;=Portfolio!$J$5,A49&gt;=Holdings!$G$24),O49,0)</f>
        <v>-3.4202869662111279E-2</v>
      </c>
      <c r="V49" s="12">
        <f>IF(AND(A49&gt;Holdings!$G$24,A49&lt;=Portfolio!$J$5),L49,"")</f>
        <v>1.6288125743604276E-3</v>
      </c>
      <c r="W49" s="12">
        <f>IF(AND(A49&gt;Holdings!$G$24,A49&lt;=Portfolio!$J$5),Q49,"")</f>
        <v>4.4684907482348546E-3</v>
      </c>
    </row>
    <row r="50" spans="1:23" ht="19.95" customHeight="1" x14ac:dyDescent="0.3">
      <c r="A50" s="7">
        <v>46163</v>
      </c>
      <c r="B50" s="1">
        <f>SUMIFS(Ledger!$J$7:$J$1006,Ledger!$C$7:$C$1006,Portfolio!$C$5,Ledger!$E$7:$E$1006,History!B$6,Ledger!$B$7:$B$1006,"&lt;="&amp;$A50)</f>
        <v>100</v>
      </c>
      <c r="C50" s="1">
        <f>SUMIFS(Ledger!$J$7:$J$1006,Ledger!$C$7:$C$1006,Portfolio!$C$5,Ledger!$E$7:$E$1006,History!C$6,Ledger!$B$7:$B$1006,"&lt;="&amp;$A50)</f>
        <v>100</v>
      </c>
      <c r="D50" s="1">
        <f>SUMIFS(Ledger!$J$7:$J$1006,Ledger!$C$7:$C$1006,Portfolio!$C$5,Ledger!$E$7:$E$1006,History!D$6,Ledger!$B$7:$B$1006,"&lt;="&amp;$A50)</f>
        <v>70</v>
      </c>
      <c r="E50" s="1">
        <f>SUMIFS(Ledger!$J$7:$J$1006,Ledger!$C$7:$C$1006,Portfolio!$C$5,Ledger!$E$7:$E$1006,History!E$6,Ledger!$B$7:$B$1006,"&lt;="&amp;$A50)</f>
        <v>180</v>
      </c>
      <c r="F50" s="1">
        <f>SUMIFS(Ledger!$J$7:$J$1006,Ledger!$C$7:$C$1006,Portfolio!$C$5,Ledger!$E$7:$E$1006,History!F$6,Ledger!$B$7:$B$1006,"&lt;="&amp;$A50)</f>
        <v>480</v>
      </c>
      <c r="G50" s="1">
        <f>SUMIFS(Ledger!$J$7:$J$1006,Ledger!$C$7:$C$1006,Portfolio!$C$5,Ledger!$E$7:$E$1006,History!G$6,Ledger!$B$7:$B$1006,"&lt;="&amp;$A50)</f>
        <v>600</v>
      </c>
      <c r="H50" s="8">
        <f>SUMIFS(Ledger!$K$7:$K$1006,Ledger!$C$7:$C$1006,Portfolio!$C$5,Ledger!$B$7:$B$1006,"&lt;="&amp;$A50)</f>
        <v>58660.273999999998</v>
      </c>
      <c r="I50" s="8">
        <f>IF(S50=6,SUMPRODUCT(B50:G50,History!B50:G50),NA())</f>
        <v>479578.90299999999</v>
      </c>
      <c r="J50" s="8">
        <f t="shared" si="2"/>
        <v>538239.17700000003</v>
      </c>
      <c r="K50" s="8">
        <f>SUMIFS(Ledger!$L$7:$L$1006,Ledger!$C$7:$C$1006,Portfolio!$C$5,Ledger!$B$7:$B$1006,$A50)</f>
        <v>0</v>
      </c>
      <c r="L50" s="10">
        <f>IF(A50&lt;Holdings!$G$24,"",IF(A50=Holdings!$G$24,IF(K50&gt;0,J50/K50-1,NA()),IF(J49&gt;0,(J50-K50)/J49-1,NA())))</f>
        <v>-4.1685998349136888E-3</v>
      </c>
      <c r="M50" s="11">
        <f>IF(A50&lt;Holdings!$G$24,"",IF(A50=Holdings!$G$24,100*(1+L50),M49*(1+L50)))</f>
        <v>97.706690470101151</v>
      </c>
      <c r="N50" s="11">
        <f>IF(A50&lt;Holdings!$G$24,"",IF(A50=Holdings!$G$24,MAX(100,M50),MAX(N49,M50)))</f>
        <v>101.59037800000002</v>
      </c>
      <c r="O50" s="10">
        <f>IF(A50&lt;Holdings!$G$24,"",M50/N50-1)</f>
        <v>-3.8228891420197919E-2</v>
      </c>
      <c r="P50" s="11">
        <f>IF(A50&lt;Holdings!$G$24,"",IF(History!H50&gt;0,History!H50/INDEX(History!$H$7:$H$136,MATCH(Holdings!$G$24,History!$A$7:$A$136,0))*100,NA()))</f>
        <v>93.780746600000001</v>
      </c>
      <c r="Q50" s="10">
        <f>IF(A50&lt;=Holdings!$G$24,"",P50/P49-1)</f>
        <v>-2.8007295655090303E-3</v>
      </c>
      <c r="R50" s="8">
        <f>IF(A50&gt;Portfolio!$J$5,0,-K50+IF(A50=Portfolio!$J$5,J50,0))</f>
        <v>0</v>
      </c>
      <c r="S50" s="1">
        <f>COUNTIFS(History!B50:G50,"&gt;0")</f>
        <v>6</v>
      </c>
      <c r="T50" s="1" t="str">
        <f t="shared" si="3"/>
        <v>21-May</v>
      </c>
      <c r="U50" s="10">
        <f>IF(AND(A50&lt;=Portfolio!$J$5,A50&gt;=Holdings!$G$24),O50,0)</f>
        <v>-3.8228891420197919E-2</v>
      </c>
      <c r="V50" s="12">
        <f>IF(AND(A50&gt;Holdings!$G$24,A50&lt;=Portfolio!$J$5),L50,"")</f>
        <v>-4.1685998349136888E-3</v>
      </c>
      <c r="W50" s="12">
        <f>IF(AND(A50&gt;Holdings!$G$24,A50&lt;=Portfolio!$J$5),Q50,"")</f>
        <v>-2.8007295655090303E-3</v>
      </c>
    </row>
    <row r="51" spans="1:23" ht="19.95" customHeight="1" x14ac:dyDescent="0.3">
      <c r="A51" s="7">
        <v>46164</v>
      </c>
      <c r="B51" s="1">
        <f>SUMIFS(Ledger!$J$7:$J$1006,Ledger!$C$7:$C$1006,Portfolio!$C$5,Ledger!$E$7:$E$1006,History!B$6,Ledger!$B$7:$B$1006,"&lt;="&amp;$A51)</f>
        <v>100</v>
      </c>
      <c r="C51" s="1">
        <f>SUMIFS(Ledger!$J$7:$J$1006,Ledger!$C$7:$C$1006,Portfolio!$C$5,Ledger!$E$7:$E$1006,History!C$6,Ledger!$B$7:$B$1006,"&lt;="&amp;$A51)</f>
        <v>100</v>
      </c>
      <c r="D51" s="1">
        <f>SUMIFS(Ledger!$J$7:$J$1006,Ledger!$C$7:$C$1006,Portfolio!$C$5,Ledger!$E$7:$E$1006,History!D$6,Ledger!$B$7:$B$1006,"&lt;="&amp;$A51)</f>
        <v>70</v>
      </c>
      <c r="E51" s="1">
        <f>SUMIFS(Ledger!$J$7:$J$1006,Ledger!$C$7:$C$1006,Portfolio!$C$5,Ledger!$E$7:$E$1006,History!E$6,Ledger!$B$7:$B$1006,"&lt;="&amp;$A51)</f>
        <v>180</v>
      </c>
      <c r="F51" s="1">
        <f>SUMIFS(Ledger!$J$7:$J$1006,Ledger!$C$7:$C$1006,Portfolio!$C$5,Ledger!$E$7:$E$1006,History!F$6,Ledger!$B$7:$B$1006,"&lt;="&amp;$A51)</f>
        <v>480</v>
      </c>
      <c r="G51" s="1">
        <f>SUMIFS(Ledger!$J$7:$J$1006,Ledger!$C$7:$C$1006,Portfolio!$C$5,Ledger!$E$7:$E$1006,History!G$6,Ledger!$B$7:$B$1006,"&lt;="&amp;$A51)</f>
        <v>600</v>
      </c>
      <c r="H51" s="8">
        <f>SUMIFS(Ledger!$K$7:$K$1006,Ledger!$C$7:$C$1006,Portfolio!$C$5,Ledger!$B$7:$B$1006,"&lt;="&amp;$A51)</f>
        <v>58660.273999999998</v>
      </c>
      <c r="I51" s="8">
        <f>IF(S51=6,SUMPRODUCT(B51:G51,History!B51:G51),NA())</f>
        <v>478642.38300000003</v>
      </c>
      <c r="J51" s="8">
        <f t="shared" si="2"/>
        <v>537302.65700000001</v>
      </c>
      <c r="K51" s="8">
        <f>SUMIFS(Ledger!$L$7:$L$1006,Ledger!$C$7:$C$1006,Portfolio!$C$5,Ledger!$B$7:$B$1006,$A51)</f>
        <v>0</v>
      </c>
      <c r="L51" s="10">
        <f>IF(A51&lt;Holdings!$G$24,"",IF(A51=Holdings!$G$24,IF(K51&gt;0,J51/K51-1,NA()),IF(J50&gt;0,(J51-K51)/J50-1,NA())))</f>
        <v>-1.7399699613468433E-3</v>
      </c>
      <c r="M51" s="11">
        <f>IF(A51&lt;Holdings!$G$24,"",IF(A51=Holdings!$G$24,100*(1+L51),M50*(1+L51)))</f>
        <v>97.536683763660562</v>
      </c>
      <c r="N51" s="11">
        <f>IF(A51&lt;Holdings!$G$24,"",IF(A51=Holdings!$G$24,MAX(100,M51),MAX(N50,M51)))</f>
        <v>101.59037800000002</v>
      </c>
      <c r="O51" s="10">
        <f>IF(A51&lt;Holdings!$G$24,"",M51/N51-1)</f>
        <v>-3.9902344258818001E-2</v>
      </c>
      <c r="P51" s="11">
        <f>IF(A51&lt;Holdings!$G$24,"",IF(History!H51&gt;0,History!H51/INDEX(History!$H$7:$H$136,MATCH(Holdings!$G$24,History!$A$7:$A$136,0))*100,NA()))</f>
        <v>93.794179999999997</v>
      </c>
      <c r="Q51" s="10">
        <f>IF(A51&lt;=Holdings!$G$24,"",P51/P50-1)</f>
        <v>1.432426216150251E-4</v>
      </c>
      <c r="R51" s="8">
        <f>IF(A51&gt;Portfolio!$J$5,0,-K51+IF(A51=Portfolio!$J$5,J51,0))</f>
        <v>0</v>
      </c>
      <c r="S51" s="1">
        <f>COUNTIFS(History!B51:G51,"&gt;0")</f>
        <v>6</v>
      </c>
      <c r="T51" s="1" t="str">
        <f t="shared" si="3"/>
        <v>22-May</v>
      </c>
      <c r="U51" s="10">
        <f>IF(AND(A51&lt;=Portfolio!$J$5,A51&gt;=Holdings!$G$24),O51,0)</f>
        <v>-3.9902344258818001E-2</v>
      </c>
      <c r="V51" s="12">
        <f>IF(AND(A51&gt;Holdings!$G$24,A51&lt;=Portfolio!$J$5),L51,"")</f>
        <v>-1.7399699613468433E-3</v>
      </c>
      <c r="W51" s="12">
        <f>IF(AND(A51&gt;Holdings!$G$24,A51&lt;=Portfolio!$J$5),Q51,"")</f>
        <v>1.432426216150251E-4</v>
      </c>
    </row>
    <row r="52" spans="1:23" ht="19.95" customHeight="1" x14ac:dyDescent="0.3">
      <c r="A52" s="7">
        <v>46167</v>
      </c>
      <c r="B52" s="1">
        <f>SUMIFS(Ledger!$J$7:$J$1006,Ledger!$C$7:$C$1006,Portfolio!$C$5,Ledger!$E$7:$E$1006,History!B$6,Ledger!$B$7:$B$1006,"&lt;="&amp;$A52)</f>
        <v>100</v>
      </c>
      <c r="C52" s="1">
        <f>SUMIFS(Ledger!$J$7:$J$1006,Ledger!$C$7:$C$1006,Portfolio!$C$5,Ledger!$E$7:$E$1006,History!C$6,Ledger!$B$7:$B$1006,"&lt;="&amp;$A52)</f>
        <v>100</v>
      </c>
      <c r="D52" s="1">
        <f>SUMIFS(Ledger!$J$7:$J$1006,Ledger!$C$7:$C$1006,Portfolio!$C$5,Ledger!$E$7:$E$1006,History!D$6,Ledger!$B$7:$B$1006,"&lt;="&amp;$A52)</f>
        <v>70</v>
      </c>
      <c r="E52" s="1">
        <f>SUMIFS(Ledger!$J$7:$J$1006,Ledger!$C$7:$C$1006,Portfolio!$C$5,Ledger!$E$7:$E$1006,History!E$6,Ledger!$B$7:$B$1006,"&lt;="&amp;$A52)</f>
        <v>180</v>
      </c>
      <c r="F52" s="1">
        <f>SUMIFS(Ledger!$J$7:$J$1006,Ledger!$C$7:$C$1006,Portfolio!$C$5,Ledger!$E$7:$E$1006,History!F$6,Ledger!$B$7:$B$1006,"&lt;="&amp;$A52)</f>
        <v>480</v>
      </c>
      <c r="G52" s="1">
        <f>SUMIFS(Ledger!$J$7:$J$1006,Ledger!$C$7:$C$1006,Portfolio!$C$5,Ledger!$E$7:$E$1006,History!G$6,Ledger!$B$7:$B$1006,"&lt;="&amp;$A52)</f>
        <v>600</v>
      </c>
      <c r="H52" s="8">
        <f>SUMIFS(Ledger!$K$7:$K$1006,Ledger!$C$7:$C$1006,Portfolio!$C$5,Ledger!$B$7:$B$1006,"&lt;="&amp;$A52)</f>
        <v>58660.273999999998</v>
      </c>
      <c r="I52" s="8">
        <f>IF(S52=6,SUMPRODUCT(B52:G52,History!B52:G52),NA())</f>
        <v>480845.84300000005</v>
      </c>
      <c r="J52" s="8">
        <f t="shared" si="2"/>
        <v>539506.11700000009</v>
      </c>
      <c r="K52" s="8">
        <f>SUMIFS(Ledger!$L$7:$L$1006,Ledger!$C$7:$C$1006,Portfolio!$C$5,Ledger!$B$7:$B$1006,$A52)</f>
        <v>0</v>
      </c>
      <c r="L52" s="10">
        <f>IF(A52&lt;Holdings!$G$24,"",IF(A52=Holdings!$G$24,IF(K52&gt;0,J52/K52-1,NA()),IF(J51&gt;0,(J52-K52)/J51-1,NA())))</f>
        <v>4.1009661338786696E-3</v>
      </c>
      <c r="M52" s="11">
        <f>IF(A52&lt;Holdings!$G$24,"",IF(A52=Holdings!$G$24,100*(1+L52),M51*(1+L52)))</f>
        <v>97.936678400586175</v>
      </c>
      <c r="N52" s="11">
        <f>IF(A52&lt;Holdings!$G$24,"",IF(A52=Holdings!$G$24,MAX(100,M52),MAX(N51,M52)))</f>
        <v>101.59037800000002</v>
      </c>
      <c r="O52" s="10">
        <f>IF(A52&lt;Holdings!$G$24,"",M52/N52-1)</f>
        <v>-3.5965016287407114E-2</v>
      </c>
      <c r="P52" s="11">
        <f>IF(A52&lt;Holdings!$G$24,"",IF(History!H52&gt;0,History!H52/INDEX(History!$H$7:$H$136,MATCH(Holdings!$G$24,History!$A$7:$A$136,0))*100,NA()))</f>
        <v>94.136445300000005</v>
      </c>
      <c r="Q52" s="10">
        <f>IF(A52&lt;=Holdings!$G$24,"",P52/P51-1)</f>
        <v>3.6491102113158647E-3</v>
      </c>
      <c r="R52" s="8">
        <f>IF(A52&gt;Portfolio!$J$5,0,-K52+IF(A52=Portfolio!$J$5,J52,0))</f>
        <v>0</v>
      </c>
      <c r="S52" s="1">
        <f>COUNTIFS(History!B52:G52,"&gt;0")</f>
        <v>6</v>
      </c>
      <c r="T52" s="1" t="str">
        <f t="shared" si="3"/>
        <v>25-May</v>
      </c>
      <c r="U52" s="10">
        <f>IF(AND(A52&lt;=Portfolio!$J$5,A52&gt;=Holdings!$G$24),O52,0)</f>
        <v>-3.5965016287407114E-2</v>
      </c>
      <c r="V52" s="12">
        <f>IF(AND(A52&gt;Holdings!$G$24,A52&lt;=Portfolio!$J$5),L52,"")</f>
        <v>4.1009661338786696E-3</v>
      </c>
      <c r="W52" s="12">
        <f>IF(AND(A52&gt;Holdings!$G$24,A52&lt;=Portfolio!$J$5),Q52,"")</f>
        <v>3.6491102113158647E-3</v>
      </c>
    </row>
    <row r="53" spans="1:23" ht="19.95" customHeight="1" x14ac:dyDescent="0.3">
      <c r="A53" s="7">
        <v>46168</v>
      </c>
      <c r="B53" s="1">
        <f>SUMIFS(Ledger!$J$7:$J$1006,Ledger!$C$7:$C$1006,Portfolio!$C$5,Ledger!$E$7:$E$1006,History!B$6,Ledger!$B$7:$B$1006,"&lt;="&amp;$A53)</f>
        <v>100</v>
      </c>
      <c r="C53" s="1">
        <f>SUMIFS(Ledger!$J$7:$J$1006,Ledger!$C$7:$C$1006,Portfolio!$C$5,Ledger!$E$7:$E$1006,History!C$6,Ledger!$B$7:$B$1006,"&lt;="&amp;$A53)</f>
        <v>100</v>
      </c>
      <c r="D53" s="1">
        <f>SUMIFS(Ledger!$J$7:$J$1006,Ledger!$C$7:$C$1006,Portfolio!$C$5,Ledger!$E$7:$E$1006,History!D$6,Ledger!$B$7:$B$1006,"&lt;="&amp;$A53)</f>
        <v>70</v>
      </c>
      <c r="E53" s="1">
        <f>SUMIFS(Ledger!$J$7:$J$1006,Ledger!$C$7:$C$1006,Portfolio!$C$5,Ledger!$E$7:$E$1006,History!E$6,Ledger!$B$7:$B$1006,"&lt;="&amp;$A53)</f>
        <v>180</v>
      </c>
      <c r="F53" s="1">
        <f>SUMIFS(Ledger!$J$7:$J$1006,Ledger!$C$7:$C$1006,Portfolio!$C$5,Ledger!$E$7:$E$1006,History!F$6,Ledger!$B$7:$B$1006,"&lt;="&amp;$A53)</f>
        <v>480</v>
      </c>
      <c r="G53" s="1">
        <f>SUMIFS(Ledger!$J$7:$J$1006,Ledger!$C$7:$C$1006,Portfolio!$C$5,Ledger!$E$7:$E$1006,History!G$6,Ledger!$B$7:$B$1006,"&lt;="&amp;$A53)</f>
        <v>600</v>
      </c>
      <c r="H53" s="8">
        <f>SUMIFS(Ledger!$K$7:$K$1006,Ledger!$C$7:$C$1006,Portfolio!$C$5,Ledger!$B$7:$B$1006,"&lt;="&amp;$A53)</f>
        <v>58660.273999999998</v>
      </c>
      <c r="I53" s="8">
        <f>IF(S53=6,SUMPRODUCT(B53:G53,History!B53:G53),NA())</f>
        <v>480259.99699999997</v>
      </c>
      <c r="J53" s="8">
        <f t="shared" si="2"/>
        <v>538920.27099999995</v>
      </c>
      <c r="K53" s="8">
        <f>SUMIFS(Ledger!$L$7:$L$1006,Ledger!$C$7:$C$1006,Portfolio!$C$5,Ledger!$B$7:$B$1006,$A53)</f>
        <v>0</v>
      </c>
      <c r="L53" s="10">
        <f>IF(A53&lt;Holdings!$G$24,"",IF(A53=Holdings!$G$24,IF(K53&gt;0,J53/K53-1,NA()),IF(J52&gt;0,(J53-K53)/J52-1,NA())))</f>
        <v>-1.0858931558697105E-3</v>
      </c>
      <c r="M53" s="11">
        <f>IF(A53&lt;Holdings!$G$24,"",IF(A53=Holdings!$G$24,100*(1+L53),M52*(1+L53)))</f>
        <v>97.830329631802371</v>
      </c>
      <c r="N53" s="11">
        <f>IF(A53&lt;Holdings!$G$24,"",IF(A53=Holdings!$G$24,MAX(100,M53),MAX(N52,M53)))</f>
        <v>101.59037800000002</v>
      </c>
      <c r="O53" s="10">
        <f>IF(A53&lt;Holdings!$G$24,"",M53/N53-1)</f>
        <v>-3.7011855278239469E-2</v>
      </c>
      <c r="P53" s="11">
        <f>IF(A53&lt;Holdings!$G$24,"",IF(History!H53&gt;0,History!H53/INDEX(History!$H$7:$H$136,MATCH(Holdings!$G$24,History!$A$7:$A$136,0))*100,NA()))</f>
        <v>94.488302399999995</v>
      </c>
      <c r="Q53" s="10">
        <f>IF(A53&lt;=Holdings!$G$24,"",P53/P52-1)</f>
        <v>3.7377351447536178E-3</v>
      </c>
      <c r="R53" s="8">
        <f>IF(A53&gt;Portfolio!$J$5,0,-K53+IF(A53=Portfolio!$J$5,J53,0))</f>
        <v>0</v>
      </c>
      <c r="S53" s="1">
        <f>COUNTIFS(History!B53:G53,"&gt;0")</f>
        <v>6</v>
      </c>
      <c r="T53" s="1" t="str">
        <f t="shared" si="3"/>
        <v>26-May</v>
      </c>
      <c r="U53" s="10">
        <f>IF(AND(A53&lt;=Portfolio!$J$5,A53&gt;=Holdings!$G$24),O53,0)</f>
        <v>-3.7011855278239469E-2</v>
      </c>
      <c r="V53" s="12">
        <f>IF(AND(A53&gt;Holdings!$G$24,A53&lt;=Portfolio!$J$5),L53,"")</f>
        <v>-1.0858931558697105E-3</v>
      </c>
      <c r="W53" s="12">
        <f>IF(AND(A53&gt;Holdings!$G$24,A53&lt;=Portfolio!$J$5),Q53,"")</f>
        <v>3.7377351447536178E-3</v>
      </c>
    </row>
    <row r="54" spans="1:23" ht="19.95" customHeight="1" x14ac:dyDescent="0.3">
      <c r="A54" s="7">
        <v>46169</v>
      </c>
      <c r="B54" s="1">
        <f>SUMIFS(Ledger!$J$7:$J$1006,Ledger!$C$7:$C$1006,Portfolio!$C$5,Ledger!$E$7:$E$1006,History!B$6,Ledger!$B$7:$B$1006,"&lt;="&amp;$A54)</f>
        <v>100</v>
      </c>
      <c r="C54" s="1">
        <f>SUMIFS(Ledger!$J$7:$J$1006,Ledger!$C$7:$C$1006,Portfolio!$C$5,Ledger!$E$7:$E$1006,History!C$6,Ledger!$B$7:$B$1006,"&lt;="&amp;$A54)</f>
        <v>100</v>
      </c>
      <c r="D54" s="1">
        <f>SUMIFS(Ledger!$J$7:$J$1006,Ledger!$C$7:$C$1006,Portfolio!$C$5,Ledger!$E$7:$E$1006,History!D$6,Ledger!$B$7:$B$1006,"&lt;="&amp;$A54)</f>
        <v>70</v>
      </c>
      <c r="E54" s="1">
        <f>SUMIFS(Ledger!$J$7:$J$1006,Ledger!$C$7:$C$1006,Portfolio!$C$5,Ledger!$E$7:$E$1006,History!E$6,Ledger!$B$7:$B$1006,"&lt;="&amp;$A54)</f>
        <v>180</v>
      </c>
      <c r="F54" s="1">
        <f>SUMIFS(Ledger!$J$7:$J$1006,Ledger!$C$7:$C$1006,Portfolio!$C$5,Ledger!$E$7:$E$1006,History!F$6,Ledger!$B$7:$B$1006,"&lt;="&amp;$A54)</f>
        <v>480</v>
      </c>
      <c r="G54" s="1">
        <f>SUMIFS(Ledger!$J$7:$J$1006,Ledger!$C$7:$C$1006,Portfolio!$C$5,Ledger!$E$7:$E$1006,History!G$6,Ledger!$B$7:$B$1006,"&lt;="&amp;$A54)</f>
        <v>600</v>
      </c>
      <c r="H54" s="8">
        <f>SUMIFS(Ledger!$K$7:$K$1006,Ledger!$C$7:$C$1006,Portfolio!$C$5,Ledger!$B$7:$B$1006,"&lt;="&amp;$A54)</f>
        <v>58660.273999999998</v>
      </c>
      <c r="I54" s="8">
        <f>IF(S54=6,SUMPRODUCT(B54:G54,History!B54:G54),NA())</f>
        <v>481168.77600000001</v>
      </c>
      <c r="J54" s="8">
        <f t="shared" si="2"/>
        <v>539829.05000000005</v>
      </c>
      <c r="K54" s="8">
        <f>SUMIFS(Ledger!$L$7:$L$1006,Ledger!$C$7:$C$1006,Portfolio!$C$5,Ledger!$B$7:$B$1006,$A54)</f>
        <v>0</v>
      </c>
      <c r="L54" s="10">
        <f>IF(A54&lt;Holdings!$G$24,"",IF(A54=Holdings!$G$24,IF(K54&gt;0,J54/K54-1,NA()),IF(J53&gt;0,(J54-K54)/J53-1,NA())))</f>
        <v>1.6862958194423516E-3</v>
      </c>
      <c r="M54" s="11">
        <f>IF(A54&lt;Holdings!$G$24,"",IF(A54=Holdings!$G$24,100*(1+L54),M53*(1+L54)))</f>
        <v>97.995300507675154</v>
      </c>
      <c r="N54" s="11">
        <f>IF(A54&lt;Holdings!$G$24,"",IF(A54=Holdings!$G$24,MAX(100,M54),MAX(N53,M54)))</f>
        <v>101.59037800000002</v>
      </c>
      <c r="O54" s="10">
        <f>IF(A54&lt;Holdings!$G$24,"",M54/N54-1)</f>
        <v>-3.5387972395622525E-2</v>
      </c>
      <c r="P54" s="11">
        <f>IF(A54&lt;Holdings!$G$24,"",IF(History!H54&gt;0,History!H54/INDEX(History!$H$7:$H$136,MATCH(Holdings!$G$24,History!$A$7:$A$136,0))*100,NA()))</f>
        <v>94.569688599999992</v>
      </c>
      <c r="Q54" s="10">
        <f>IF(A54&lt;=Holdings!$G$24,"",P54/P53-1)</f>
        <v>8.6133624938522502E-4</v>
      </c>
      <c r="R54" s="8">
        <f>IF(A54&gt;Portfolio!$J$5,0,-K54+IF(A54=Portfolio!$J$5,J54,0))</f>
        <v>0</v>
      </c>
      <c r="S54" s="1">
        <f>COUNTIFS(History!B54:G54,"&gt;0")</f>
        <v>6</v>
      </c>
      <c r="T54" s="1" t="str">
        <f t="shared" si="3"/>
        <v>27-May</v>
      </c>
      <c r="U54" s="10">
        <f>IF(AND(A54&lt;=Portfolio!$J$5,A54&gt;=Holdings!$G$24),O54,0)</f>
        <v>-3.5387972395622525E-2</v>
      </c>
      <c r="V54" s="12">
        <f>IF(AND(A54&gt;Holdings!$G$24,A54&lt;=Portfolio!$J$5),L54,"")</f>
        <v>1.6862958194423516E-3</v>
      </c>
      <c r="W54" s="12">
        <f>IF(AND(A54&gt;Holdings!$G$24,A54&lt;=Portfolio!$J$5),Q54,"")</f>
        <v>8.6133624938522502E-4</v>
      </c>
    </row>
    <row r="55" spans="1:23" ht="19.95" customHeight="1" x14ac:dyDescent="0.3">
      <c r="A55" s="7">
        <v>46170</v>
      </c>
      <c r="B55" s="1">
        <f>SUMIFS(Ledger!$J$7:$J$1006,Ledger!$C$7:$C$1006,Portfolio!$C$5,Ledger!$E$7:$E$1006,History!B$6,Ledger!$B$7:$B$1006,"&lt;="&amp;$A55)</f>
        <v>100</v>
      </c>
      <c r="C55" s="1">
        <f>SUMIFS(Ledger!$J$7:$J$1006,Ledger!$C$7:$C$1006,Portfolio!$C$5,Ledger!$E$7:$E$1006,History!C$6,Ledger!$B$7:$B$1006,"&lt;="&amp;$A55)</f>
        <v>100</v>
      </c>
      <c r="D55" s="1">
        <f>SUMIFS(Ledger!$J$7:$J$1006,Ledger!$C$7:$C$1006,Portfolio!$C$5,Ledger!$E$7:$E$1006,History!D$6,Ledger!$B$7:$B$1006,"&lt;="&amp;$A55)</f>
        <v>70</v>
      </c>
      <c r="E55" s="1">
        <f>SUMIFS(Ledger!$J$7:$J$1006,Ledger!$C$7:$C$1006,Portfolio!$C$5,Ledger!$E$7:$E$1006,History!E$6,Ledger!$B$7:$B$1006,"&lt;="&amp;$A55)</f>
        <v>180</v>
      </c>
      <c r="F55" s="1">
        <f>SUMIFS(Ledger!$J$7:$J$1006,Ledger!$C$7:$C$1006,Portfolio!$C$5,Ledger!$E$7:$E$1006,History!F$6,Ledger!$B$7:$B$1006,"&lt;="&amp;$A55)</f>
        <v>480</v>
      </c>
      <c r="G55" s="1">
        <f>SUMIFS(Ledger!$J$7:$J$1006,Ledger!$C$7:$C$1006,Portfolio!$C$5,Ledger!$E$7:$E$1006,History!G$6,Ledger!$B$7:$B$1006,"&lt;="&amp;$A55)</f>
        <v>600</v>
      </c>
      <c r="H55" s="8">
        <f>SUMIFS(Ledger!$K$7:$K$1006,Ledger!$C$7:$C$1006,Portfolio!$C$5,Ledger!$B$7:$B$1006,"&lt;="&amp;$A55)</f>
        <v>58660.273999999998</v>
      </c>
      <c r="I55" s="8">
        <f>IF(S55=6,SUMPRODUCT(B55:G55,History!B55:G55),NA())</f>
        <v>478467.77</v>
      </c>
      <c r="J55" s="8">
        <f t="shared" si="2"/>
        <v>537128.04399999999</v>
      </c>
      <c r="K55" s="8">
        <f>SUMIFS(Ledger!$L$7:$L$1006,Ledger!$C$7:$C$1006,Portfolio!$C$5,Ledger!$B$7:$B$1006,$A55)</f>
        <v>0</v>
      </c>
      <c r="L55" s="10">
        <f>IF(A55&lt;Holdings!$G$24,"",IF(A55=Holdings!$G$24,IF(K55&gt;0,J55/K55-1,NA()),IF(J54&gt;0,(J55-K55)/J54-1,NA())))</f>
        <v>-5.0034469245403557E-3</v>
      </c>
      <c r="M55" s="11">
        <f>IF(A55&lt;Holdings!$G$24,"",IF(A55=Holdings!$G$24,100*(1+L55),M54*(1+L55)))</f>
        <v>97.504986222730622</v>
      </c>
      <c r="N55" s="11">
        <f>IF(A55&lt;Holdings!$G$24,"",IF(A55=Holdings!$G$24,MAX(100,M55),MAX(N54,M55)))</f>
        <v>101.59037800000002</v>
      </c>
      <c r="O55" s="10">
        <f>IF(A55&lt;Holdings!$G$24,"",M55/N55-1)</f>
        <v>-4.0214357478514318E-2</v>
      </c>
      <c r="P55" s="11">
        <f>IF(A55&lt;Holdings!$G$24,"",IF(History!H55&gt;0,History!H55/INDEX(History!$H$7:$H$136,MATCH(Holdings!$G$24,History!$A$7:$A$136,0))*100,NA()))</f>
        <v>94.087773400000003</v>
      </c>
      <c r="Q55" s="10">
        <f>IF(A55&lt;=Holdings!$G$24,"",P55/P54-1)</f>
        <v>-5.0958738168034312E-3</v>
      </c>
      <c r="R55" s="8">
        <f>IF(A55&gt;Portfolio!$J$5,0,-K55+IF(A55=Portfolio!$J$5,J55,0))</f>
        <v>0</v>
      </c>
      <c r="S55" s="1">
        <f>COUNTIFS(History!B55:G55,"&gt;0")</f>
        <v>6</v>
      </c>
      <c r="T55" s="1" t="str">
        <f t="shared" si="3"/>
        <v>28-May</v>
      </c>
      <c r="U55" s="10">
        <f>IF(AND(A55&lt;=Portfolio!$J$5,A55&gt;=Holdings!$G$24),O55,0)</f>
        <v>-4.0214357478514318E-2</v>
      </c>
      <c r="V55" s="12">
        <f>IF(AND(A55&gt;Holdings!$G$24,A55&lt;=Portfolio!$J$5),L55,"")</f>
        <v>-5.0034469245403557E-3</v>
      </c>
      <c r="W55" s="12">
        <f>IF(AND(A55&gt;Holdings!$G$24,A55&lt;=Portfolio!$J$5),Q55,"")</f>
        <v>-5.0958738168034312E-3</v>
      </c>
    </row>
    <row r="56" spans="1:23" ht="19.95" customHeight="1" x14ac:dyDescent="0.3">
      <c r="A56" s="7">
        <v>46171</v>
      </c>
      <c r="B56" s="1">
        <f>SUMIFS(Ledger!$J$7:$J$1006,Ledger!$C$7:$C$1006,Portfolio!$C$5,Ledger!$E$7:$E$1006,History!B$6,Ledger!$B$7:$B$1006,"&lt;="&amp;$A56)</f>
        <v>100</v>
      </c>
      <c r="C56" s="1">
        <f>SUMIFS(Ledger!$J$7:$J$1006,Ledger!$C$7:$C$1006,Portfolio!$C$5,Ledger!$E$7:$E$1006,History!C$6,Ledger!$B$7:$B$1006,"&lt;="&amp;$A56)</f>
        <v>100</v>
      </c>
      <c r="D56" s="1">
        <f>SUMIFS(Ledger!$J$7:$J$1006,Ledger!$C$7:$C$1006,Portfolio!$C$5,Ledger!$E$7:$E$1006,History!D$6,Ledger!$B$7:$B$1006,"&lt;="&amp;$A56)</f>
        <v>70</v>
      </c>
      <c r="E56" s="1">
        <f>SUMIFS(Ledger!$J$7:$J$1006,Ledger!$C$7:$C$1006,Portfolio!$C$5,Ledger!$E$7:$E$1006,History!E$6,Ledger!$B$7:$B$1006,"&lt;="&amp;$A56)</f>
        <v>180</v>
      </c>
      <c r="F56" s="1">
        <f>SUMIFS(Ledger!$J$7:$J$1006,Ledger!$C$7:$C$1006,Portfolio!$C$5,Ledger!$E$7:$E$1006,History!F$6,Ledger!$B$7:$B$1006,"&lt;="&amp;$A56)</f>
        <v>480</v>
      </c>
      <c r="G56" s="1">
        <f>SUMIFS(Ledger!$J$7:$J$1006,Ledger!$C$7:$C$1006,Portfolio!$C$5,Ledger!$E$7:$E$1006,History!G$6,Ledger!$B$7:$B$1006,"&lt;="&amp;$A56)</f>
        <v>600</v>
      </c>
      <c r="H56" s="8">
        <f>SUMIFS(Ledger!$K$7:$K$1006,Ledger!$C$7:$C$1006,Portfolio!$C$5,Ledger!$B$7:$B$1006,"&lt;="&amp;$A56)</f>
        <v>58660.273999999998</v>
      </c>
      <c r="I56" s="8">
        <f>IF(S56=6,SUMPRODUCT(B56:G56,History!B56:G56),NA())</f>
        <v>480654.85199999996</v>
      </c>
      <c r="J56" s="8">
        <f t="shared" si="2"/>
        <v>539315.12599999993</v>
      </c>
      <c r="K56" s="8">
        <f>SUMIFS(Ledger!$L$7:$L$1006,Ledger!$C$7:$C$1006,Portfolio!$C$5,Ledger!$B$7:$B$1006,$A56)</f>
        <v>0</v>
      </c>
      <c r="L56" s="10">
        <f>IF(A56&lt;Holdings!$G$24,"",IF(A56=Holdings!$G$24,IF(K56&gt;0,J56/K56-1,NA()),IF(J55&gt;0,(J56-K56)/J55-1,NA())))</f>
        <v>4.0718075036869639E-3</v>
      </c>
      <c r="M56" s="11">
        <f>IF(A56&lt;Holdings!$G$24,"",IF(A56=Holdings!$G$24,100*(1+L56),M55*(1+L56)))</f>
        <v>97.902007757279236</v>
      </c>
      <c r="N56" s="11">
        <f>IF(A56&lt;Holdings!$G$24,"",IF(A56=Holdings!$G$24,MAX(100,M56),MAX(N55,M56)))</f>
        <v>101.59037800000002</v>
      </c>
      <c r="O56" s="10">
        <f>IF(A56&lt;Holdings!$G$24,"",M56/N56-1)</f>
        <v>-3.6306295097364272E-2</v>
      </c>
      <c r="P56" s="11">
        <f>IF(A56&lt;Holdings!$G$24,"",IF(History!H56&gt;0,History!H56/INDEX(History!$H$7:$H$136,MATCH(Holdings!$G$24,History!$A$7:$A$136,0))*100,NA()))</f>
        <v>94.293305799999999</v>
      </c>
      <c r="Q56" s="10">
        <f>IF(A56&lt;=Holdings!$G$24,"",P56/P55-1)</f>
        <v>2.1844751190593925E-3</v>
      </c>
      <c r="R56" s="8">
        <f>IF(A56&gt;Portfolio!$J$5,0,-K56+IF(A56=Portfolio!$J$5,J56,0))</f>
        <v>0</v>
      </c>
      <c r="S56" s="1">
        <f>COUNTIFS(History!B56:G56,"&gt;0")</f>
        <v>6</v>
      </c>
      <c r="T56" s="1" t="str">
        <f t="shared" si="3"/>
        <v>29-May</v>
      </c>
      <c r="U56" s="10">
        <f>IF(AND(A56&lt;=Portfolio!$J$5,A56&gt;=Holdings!$G$24),O56,0)</f>
        <v>-3.6306295097364272E-2</v>
      </c>
      <c r="V56" s="12">
        <f>IF(AND(A56&gt;Holdings!$G$24,A56&lt;=Portfolio!$J$5),L56,"")</f>
        <v>4.0718075036869639E-3</v>
      </c>
      <c r="W56" s="12">
        <f>IF(AND(A56&gt;Holdings!$G$24,A56&lt;=Portfolio!$J$5),Q56,"")</f>
        <v>2.1844751190593925E-3</v>
      </c>
    </row>
    <row r="57" spans="1:23" ht="19.95" customHeight="1" x14ac:dyDescent="0.3">
      <c r="A57" s="7">
        <v>46174</v>
      </c>
      <c r="B57" s="1">
        <f>SUMIFS(Ledger!$J$7:$J$1006,Ledger!$C$7:$C$1006,Portfolio!$C$5,Ledger!$E$7:$E$1006,History!B$6,Ledger!$B$7:$B$1006,"&lt;="&amp;$A57)</f>
        <v>100</v>
      </c>
      <c r="C57" s="1">
        <f>SUMIFS(Ledger!$J$7:$J$1006,Ledger!$C$7:$C$1006,Portfolio!$C$5,Ledger!$E$7:$E$1006,History!C$6,Ledger!$B$7:$B$1006,"&lt;="&amp;$A57)</f>
        <v>100</v>
      </c>
      <c r="D57" s="1">
        <f>SUMIFS(Ledger!$J$7:$J$1006,Ledger!$C$7:$C$1006,Portfolio!$C$5,Ledger!$E$7:$E$1006,History!D$6,Ledger!$B$7:$B$1006,"&lt;="&amp;$A57)</f>
        <v>70</v>
      </c>
      <c r="E57" s="1">
        <f>SUMIFS(Ledger!$J$7:$J$1006,Ledger!$C$7:$C$1006,Portfolio!$C$5,Ledger!$E$7:$E$1006,History!E$6,Ledger!$B$7:$B$1006,"&lt;="&amp;$A57)</f>
        <v>180</v>
      </c>
      <c r="F57" s="1">
        <f>SUMIFS(Ledger!$J$7:$J$1006,Ledger!$C$7:$C$1006,Portfolio!$C$5,Ledger!$E$7:$E$1006,History!F$6,Ledger!$B$7:$B$1006,"&lt;="&amp;$A57)</f>
        <v>480</v>
      </c>
      <c r="G57" s="1">
        <f>SUMIFS(Ledger!$J$7:$J$1006,Ledger!$C$7:$C$1006,Portfolio!$C$5,Ledger!$E$7:$E$1006,History!G$6,Ledger!$B$7:$B$1006,"&lt;="&amp;$A57)</f>
        <v>600</v>
      </c>
      <c r="H57" s="8">
        <f>SUMIFS(Ledger!$K$7:$K$1006,Ledger!$C$7:$C$1006,Portfolio!$C$5,Ledger!$B$7:$B$1006,"&lt;="&amp;$A57)</f>
        <v>58660.273999999998</v>
      </c>
      <c r="I57" s="8">
        <f>IF(S57=6,SUMPRODUCT(B57:G57,History!B57:G57),NA())</f>
        <v>480455.80300000001</v>
      </c>
      <c r="J57" s="8">
        <f t="shared" si="2"/>
        <v>539116.07700000005</v>
      </c>
      <c r="K57" s="8">
        <f>SUMIFS(Ledger!$L$7:$L$1006,Ledger!$C$7:$C$1006,Portfolio!$C$5,Ledger!$B$7:$B$1006,$A57)</f>
        <v>0</v>
      </c>
      <c r="L57" s="10">
        <f>IF(A57&lt;Holdings!$G$24,"",IF(A57=Holdings!$G$24,IF(K57&gt;0,J57/K57-1,NA()),IF(J56&gt;0,(J57-K57)/J56-1,NA())))</f>
        <v>-3.6907735460012248E-4</v>
      </c>
      <c r="M57" s="11">
        <f>IF(A57&lt;Holdings!$G$24,"",IF(A57=Holdings!$G$24,100*(1+L57),M56*(1+L57)))</f>
        <v>97.865874343246134</v>
      </c>
      <c r="N57" s="11">
        <f>IF(A57&lt;Holdings!$G$24,"",IF(A57=Holdings!$G$24,MAX(100,M57),MAX(N56,M57)))</f>
        <v>101.59037800000002</v>
      </c>
      <c r="O57" s="10">
        <f>IF(A57&lt;Holdings!$G$24,"",M57/N57-1)</f>
        <v>-3.6661972620614547E-2</v>
      </c>
      <c r="P57" s="11">
        <f>IF(A57&lt;Holdings!$G$24,"",IF(History!H57&gt;0,History!H57/INDEX(History!$H$7:$H$136,MATCH(Holdings!$G$24,History!$A$7:$A$136,0))*100,NA()))</f>
        <v>94.438493100000017</v>
      </c>
      <c r="Q57" s="10">
        <f>IF(A57&lt;=Holdings!$G$24,"",P57/P56-1)</f>
        <v>1.5397413291242668E-3</v>
      </c>
      <c r="R57" s="8">
        <f>IF(A57&gt;Portfolio!$J$5,0,-K57+IF(A57=Portfolio!$J$5,J57,0))</f>
        <v>0</v>
      </c>
      <c r="S57" s="1">
        <f>COUNTIFS(History!B57:G57,"&gt;0")</f>
        <v>6</v>
      </c>
      <c r="T57" s="1" t="str">
        <f t="shared" si="3"/>
        <v>01-Jun</v>
      </c>
      <c r="U57" s="10">
        <f>IF(AND(A57&lt;=Portfolio!$J$5,A57&gt;=Holdings!$G$24),O57,0)</f>
        <v>-3.6661972620614547E-2</v>
      </c>
      <c r="V57" s="12">
        <f>IF(AND(A57&gt;Holdings!$G$24,A57&lt;=Portfolio!$J$5),L57,"")</f>
        <v>-3.6907735460012248E-4</v>
      </c>
      <c r="W57" s="12">
        <f>IF(AND(A57&gt;Holdings!$G$24,A57&lt;=Portfolio!$J$5),Q57,"")</f>
        <v>1.5397413291242668E-3</v>
      </c>
    </row>
    <row r="58" spans="1:23" ht="19.95" customHeight="1" x14ac:dyDescent="0.3">
      <c r="A58" s="7">
        <v>46175</v>
      </c>
      <c r="B58" s="1">
        <f>SUMIFS(Ledger!$J$7:$J$1006,Ledger!$C$7:$C$1006,Portfolio!$C$5,Ledger!$E$7:$E$1006,History!B$6,Ledger!$B$7:$B$1006,"&lt;="&amp;$A58)</f>
        <v>100</v>
      </c>
      <c r="C58" s="1">
        <f>SUMIFS(Ledger!$J$7:$J$1006,Ledger!$C$7:$C$1006,Portfolio!$C$5,Ledger!$E$7:$E$1006,History!C$6,Ledger!$B$7:$B$1006,"&lt;="&amp;$A58)</f>
        <v>100</v>
      </c>
      <c r="D58" s="1">
        <f>SUMIFS(Ledger!$J$7:$J$1006,Ledger!$C$7:$C$1006,Portfolio!$C$5,Ledger!$E$7:$E$1006,History!D$6,Ledger!$B$7:$B$1006,"&lt;="&amp;$A58)</f>
        <v>70</v>
      </c>
      <c r="E58" s="1">
        <f>SUMIFS(Ledger!$J$7:$J$1006,Ledger!$C$7:$C$1006,Portfolio!$C$5,Ledger!$E$7:$E$1006,History!E$6,Ledger!$B$7:$B$1006,"&lt;="&amp;$A58)</f>
        <v>180</v>
      </c>
      <c r="F58" s="1">
        <f>SUMIFS(Ledger!$J$7:$J$1006,Ledger!$C$7:$C$1006,Portfolio!$C$5,Ledger!$E$7:$E$1006,History!F$6,Ledger!$B$7:$B$1006,"&lt;="&amp;$A58)</f>
        <v>480</v>
      </c>
      <c r="G58" s="1">
        <f>SUMIFS(Ledger!$J$7:$J$1006,Ledger!$C$7:$C$1006,Portfolio!$C$5,Ledger!$E$7:$E$1006,History!G$6,Ledger!$B$7:$B$1006,"&lt;="&amp;$A58)</f>
        <v>600</v>
      </c>
      <c r="H58" s="8">
        <f>SUMIFS(Ledger!$K$7:$K$1006,Ledger!$C$7:$C$1006,Portfolio!$C$5,Ledger!$B$7:$B$1006,"&lt;="&amp;$A58)</f>
        <v>58660.273999999998</v>
      </c>
      <c r="I58" s="8">
        <f>IF(S58=6,SUMPRODUCT(B58:G58,History!B58:G58),NA())</f>
        <v>475968.26400000002</v>
      </c>
      <c r="J58" s="8">
        <f t="shared" si="2"/>
        <v>534628.53800000006</v>
      </c>
      <c r="K58" s="8">
        <f>SUMIFS(Ledger!$L$7:$L$1006,Ledger!$C$7:$C$1006,Portfolio!$C$5,Ledger!$B$7:$B$1006,$A58)</f>
        <v>0</v>
      </c>
      <c r="L58" s="10">
        <f>IF(A58&lt;Holdings!$G$24,"",IF(A58=Holdings!$G$24,IF(K58&gt;0,J58/K58-1,NA()),IF(J57&gt;0,(J58-K58)/J57-1,NA())))</f>
        <v>-8.3238827247957836E-3</v>
      </c>
      <c r="M58" s="11">
        <f>IF(A58&lt;Holdings!$G$24,"",IF(A58=Holdings!$G$24,100*(1+L58),M57*(1+L58)))</f>
        <v>97.051250282453353</v>
      </c>
      <c r="N58" s="11">
        <f>IF(A58&lt;Holdings!$G$24,"",IF(A58=Holdings!$G$24,MAX(100,M58),MAX(N57,M58)))</f>
        <v>101.59037800000002</v>
      </c>
      <c r="O58" s="10">
        <f>IF(A58&lt;Holdings!$G$24,"",M58/N58-1)</f>
        <v>-4.46806853848567E-2</v>
      </c>
      <c r="P58" s="11">
        <f>IF(A58&lt;Holdings!$G$24,"",IF(History!H58&gt;0,History!H58/INDEX(History!$H$7:$H$136,MATCH(Holdings!$G$24,History!$A$7:$A$136,0))*100,NA()))</f>
        <v>93.638501399999996</v>
      </c>
      <c r="Q58" s="10">
        <f>IF(A58&lt;=Holdings!$G$24,"",P58/P57-1)</f>
        <v>-8.4710341486804452E-3</v>
      </c>
      <c r="R58" s="8">
        <f>IF(A58&gt;Portfolio!$J$5,0,-K58+IF(A58=Portfolio!$J$5,J58,0))</f>
        <v>0</v>
      </c>
      <c r="S58" s="1">
        <f>COUNTIFS(History!B58:G58,"&gt;0")</f>
        <v>6</v>
      </c>
      <c r="T58" s="1" t="str">
        <f t="shared" si="3"/>
        <v>02-Jun</v>
      </c>
      <c r="U58" s="10">
        <f>IF(AND(A58&lt;=Portfolio!$J$5,A58&gt;=Holdings!$G$24),O58,0)</f>
        <v>-4.46806853848567E-2</v>
      </c>
      <c r="V58" s="12">
        <f>IF(AND(A58&gt;Holdings!$G$24,A58&lt;=Portfolio!$J$5),L58,"")</f>
        <v>-8.3238827247957836E-3</v>
      </c>
      <c r="W58" s="12">
        <f>IF(AND(A58&gt;Holdings!$G$24,A58&lt;=Portfolio!$J$5),Q58,"")</f>
        <v>-8.4710341486804452E-3</v>
      </c>
    </row>
    <row r="59" spans="1:23" ht="19.95" customHeight="1" x14ac:dyDescent="0.3">
      <c r="A59" s="7">
        <v>46176</v>
      </c>
      <c r="B59" s="1">
        <f>SUMIFS(Ledger!$J$7:$J$1006,Ledger!$C$7:$C$1006,Portfolio!$C$5,Ledger!$E$7:$E$1006,History!B$6,Ledger!$B$7:$B$1006,"&lt;="&amp;$A59)</f>
        <v>100</v>
      </c>
      <c r="C59" s="1">
        <f>SUMIFS(Ledger!$J$7:$J$1006,Ledger!$C$7:$C$1006,Portfolio!$C$5,Ledger!$E$7:$E$1006,History!C$6,Ledger!$B$7:$B$1006,"&lt;="&amp;$A59)</f>
        <v>100</v>
      </c>
      <c r="D59" s="1">
        <f>SUMIFS(Ledger!$J$7:$J$1006,Ledger!$C$7:$C$1006,Portfolio!$C$5,Ledger!$E$7:$E$1006,History!D$6,Ledger!$B$7:$B$1006,"&lt;="&amp;$A59)</f>
        <v>70</v>
      </c>
      <c r="E59" s="1">
        <f>SUMIFS(Ledger!$J$7:$J$1006,Ledger!$C$7:$C$1006,Portfolio!$C$5,Ledger!$E$7:$E$1006,History!E$6,Ledger!$B$7:$B$1006,"&lt;="&amp;$A59)</f>
        <v>180</v>
      </c>
      <c r="F59" s="1">
        <f>SUMIFS(Ledger!$J$7:$J$1006,Ledger!$C$7:$C$1006,Portfolio!$C$5,Ledger!$E$7:$E$1006,History!F$6,Ledger!$B$7:$B$1006,"&lt;="&amp;$A59)</f>
        <v>480</v>
      </c>
      <c r="G59" s="1">
        <f>SUMIFS(Ledger!$J$7:$J$1006,Ledger!$C$7:$C$1006,Portfolio!$C$5,Ledger!$E$7:$E$1006,History!G$6,Ledger!$B$7:$B$1006,"&lt;="&amp;$A59)</f>
        <v>600</v>
      </c>
      <c r="H59" s="8">
        <f>SUMIFS(Ledger!$K$7:$K$1006,Ledger!$C$7:$C$1006,Portfolio!$C$5,Ledger!$B$7:$B$1006,"&lt;="&amp;$A59)</f>
        <v>58660.273999999998</v>
      </c>
      <c r="I59" s="8">
        <f>IF(S59=6,SUMPRODUCT(B59:G59,History!B59:G59),NA())</f>
        <v>475975.44400000002</v>
      </c>
      <c r="J59" s="8">
        <f t="shared" si="2"/>
        <v>534635.71799999999</v>
      </c>
      <c r="K59" s="8">
        <f>SUMIFS(Ledger!$L$7:$L$1006,Ledger!$C$7:$C$1006,Portfolio!$C$5,Ledger!$B$7:$B$1006,$A59)</f>
        <v>0</v>
      </c>
      <c r="L59" s="10">
        <f>IF(A59&lt;Holdings!$G$24,"",IF(A59=Holdings!$G$24,IF(K59&gt;0,J59/K59-1,NA()),IF(J58&gt;0,(J59-K59)/J58-1,NA())))</f>
        <v>1.3429885405757958E-5</v>
      </c>
      <c r="M59" s="11">
        <f>IF(A59&lt;Holdings!$G$24,"",IF(A59=Holdings!$G$24,100*(1+L59),M58*(1+L59)))</f>
        <v>97.052553669623137</v>
      </c>
      <c r="N59" s="11">
        <f>IF(A59&lt;Holdings!$G$24,"",IF(A59=Holdings!$G$24,MAX(100,M59),MAX(N58,M59)))</f>
        <v>101.59037800000002</v>
      </c>
      <c r="O59" s="10">
        <f>IF(A59&lt;Holdings!$G$24,"",M59/N59-1)</f>
        <v>-4.4667855555935443E-2</v>
      </c>
      <c r="P59" s="11">
        <f>IF(A59&lt;Holdings!$G$24,"",IF(History!H59&gt;0,History!H59/INDEX(History!$H$7:$H$136,MATCH(Holdings!$G$24,History!$A$7:$A$136,0))*100,NA()))</f>
        <v>93.446089500000014</v>
      </c>
      <c r="Q59" s="10">
        <f>IF(A59&lt;=Holdings!$G$24,"",P59/P58-1)</f>
        <v>-2.0548374559952176E-3</v>
      </c>
      <c r="R59" s="8">
        <f>IF(A59&gt;Portfolio!$J$5,0,-K59+IF(A59=Portfolio!$J$5,J59,0))</f>
        <v>0</v>
      </c>
      <c r="S59" s="1">
        <f>COUNTIFS(History!B59:G59,"&gt;0")</f>
        <v>6</v>
      </c>
      <c r="T59" s="1" t="str">
        <f t="shared" si="3"/>
        <v>03-Jun</v>
      </c>
      <c r="U59" s="10">
        <f>IF(AND(A59&lt;=Portfolio!$J$5,A59&gt;=Holdings!$G$24),O59,0)</f>
        <v>-4.4667855555935443E-2</v>
      </c>
      <c r="V59" s="12">
        <f>IF(AND(A59&gt;Holdings!$G$24,A59&lt;=Portfolio!$J$5),L59,"")</f>
        <v>1.3429885405757958E-5</v>
      </c>
      <c r="W59" s="12">
        <f>IF(AND(A59&gt;Holdings!$G$24,A59&lt;=Portfolio!$J$5),Q59,"")</f>
        <v>-2.0548374559952176E-3</v>
      </c>
    </row>
    <row r="60" spans="1:23" ht="19.95" customHeight="1" x14ac:dyDescent="0.3">
      <c r="A60" s="7">
        <v>46177</v>
      </c>
      <c r="B60" s="1">
        <f>SUMIFS(Ledger!$J$7:$J$1006,Ledger!$C$7:$C$1006,Portfolio!$C$5,Ledger!$E$7:$E$1006,History!B$6,Ledger!$B$7:$B$1006,"&lt;="&amp;$A60)</f>
        <v>100</v>
      </c>
      <c r="C60" s="1">
        <f>SUMIFS(Ledger!$J$7:$J$1006,Ledger!$C$7:$C$1006,Portfolio!$C$5,Ledger!$E$7:$E$1006,History!C$6,Ledger!$B$7:$B$1006,"&lt;="&amp;$A60)</f>
        <v>100</v>
      </c>
      <c r="D60" s="1">
        <f>SUMIFS(Ledger!$J$7:$J$1006,Ledger!$C$7:$C$1006,Portfolio!$C$5,Ledger!$E$7:$E$1006,History!D$6,Ledger!$B$7:$B$1006,"&lt;="&amp;$A60)</f>
        <v>70</v>
      </c>
      <c r="E60" s="1">
        <f>SUMIFS(Ledger!$J$7:$J$1006,Ledger!$C$7:$C$1006,Portfolio!$C$5,Ledger!$E$7:$E$1006,History!E$6,Ledger!$B$7:$B$1006,"&lt;="&amp;$A60)</f>
        <v>130</v>
      </c>
      <c r="F60" s="1">
        <f>SUMIFS(Ledger!$J$7:$J$1006,Ledger!$C$7:$C$1006,Portfolio!$C$5,Ledger!$E$7:$E$1006,History!F$6,Ledger!$B$7:$B$1006,"&lt;="&amp;$A60)</f>
        <v>480</v>
      </c>
      <c r="G60" s="1">
        <f>SUMIFS(Ledger!$J$7:$J$1006,Ledger!$C$7:$C$1006,Portfolio!$C$5,Ledger!$E$7:$E$1006,History!G$6,Ledger!$B$7:$B$1006,"&lt;="&amp;$A60)</f>
        <v>600</v>
      </c>
      <c r="H60" s="8">
        <f>SUMIFS(Ledger!$K$7:$K$1006,Ledger!$C$7:$C$1006,Portfolio!$C$5,Ledger!$B$7:$B$1006,"&lt;="&amp;$A60)</f>
        <v>79138.649000000005</v>
      </c>
      <c r="I60" s="8">
        <f>IF(S60=6,SUMPRODUCT(B60:G60,History!B60:G60),NA())</f>
        <v>452830.49600000004</v>
      </c>
      <c r="J60" s="8">
        <f t="shared" si="2"/>
        <v>531969.14500000002</v>
      </c>
      <c r="K60" s="8">
        <f>SUMIFS(Ledger!$L$7:$L$1006,Ledger!$C$7:$C$1006,Portfolio!$C$5,Ledger!$B$7:$B$1006,$A60)</f>
        <v>0</v>
      </c>
      <c r="L60" s="10">
        <f>IF(A60&lt;Holdings!$G$24,"",IF(A60=Holdings!$G$24,IF(K60&gt;0,J60/K60-1,NA()),IF(J59&gt;0,(J60-K60)/J59-1,NA())))</f>
        <v>-4.9876446900616322E-3</v>
      </c>
      <c r="M60" s="11">
        <f>IF(A60&lt;Holdings!$G$24,"",IF(A60=Holdings!$G$24,100*(1+L60),M59*(1+L60)))</f>
        <v>96.568490015655925</v>
      </c>
      <c r="N60" s="11">
        <f>IF(A60&lt;Holdings!$G$24,"",IF(A60=Holdings!$G$24,MAX(100,M60),MAX(N59,M60)))</f>
        <v>101.59037800000002</v>
      </c>
      <c r="O60" s="10">
        <f>IF(A60&lt;Holdings!$G$24,"",M60/N60-1)</f>
        <v>-4.9432712853416994E-2</v>
      </c>
      <c r="P60" s="11">
        <f>IF(A60&lt;Holdings!$G$24,"",IF(History!H60&gt;0,History!H60/INDEX(History!$H$7:$H$136,MATCH(Holdings!$G$24,History!$A$7:$A$136,0))*100,NA()))</f>
        <v>92.8274787</v>
      </c>
      <c r="Q60" s="10">
        <f>IF(A60&lt;=Holdings!$G$24,"",P60/P59-1)</f>
        <v>-6.6199752532182243E-3</v>
      </c>
      <c r="R60" s="8">
        <f>IF(A60&gt;Portfolio!$J$5,0,-K60+IF(A60=Portfolio!$J$5,J60,0))</f>
        <v>0</v>
      </c>
      <c r="S60" s="1">
        <f>COUNTIFS(History!B60:G60,"&gt;0")</f>
        <v>6</v>
      </c>
      <c r="T60" s="1" t="str">
        <f t="shared" si="3"/>
        <v>04-Jun</v>
      </c>
      <c r="U60" s="10">
        <f>IF(AND(A60&lt;=Portfolio!$J$5,A60&gt;=Holdings!$G$24),O60,0)</f>
        <v>-4.9432712853416994E-2</v>
      </c>
      <c r="V60" s="12">
        <f>IF(AND(A60&gt;Holdings!$G$24,A60&lt;=Portfolio!$J$5),L60,"")</f>
        <v>-4.9876446900616322E-3</v>
      </c>
      <c r="W60" s="12">
        <f>IF(AND(A60&gt;Holdings!$G$24,A60&lt;=Portfolio!$J$5),Q60,"")</f>
        <v>-6.6199752532182243E-3</v>
      </c>
    </row>
    <row r="61" spans="1:23" ht="19.95" customHeight="1" x14ac:dyDescent="0.3">
      <c r="A61" s="7">
        <v>46178</v>
      </c>
      <c r="B61" s="1">
        <f>SUMIFS(Ledger!$J$7:$J$1006,Ledger!$C$7:$C$1006,Portfolio!$C$5,Ledger!$E$7:$E$1006,History!B$6,Ledger!$B$7:$B$1006,"&lt;="&amp;$A61)</f>
        <v>100</v>
      </c>
      <c r="C61" s="1">
        <f>SUMIFS(Ledger!$J$7:$J$1006,Ledger!$C$7:$C$1006,Portfolio!$C$5,Ledger!$E$7:$E$1006,History!C$6,Ledger!$B$7:$B$1006,"&lt;="&amp;$A61)</f>
        <v>100</v>
      </c>
      <c r="D61" s="1">
        <f>SUMIFS(Ledger!$J$7:$J$1006,Ledger!$C$7:$C$1006,Portfolio!$C$5,Ledger!$E$7:$E$1006,History!D$6,Ledger!$B$7:$B$1006,"&lt;="&amp;$A61)</f>
        <v>70</v>
      </c>
      <c r="E61" s="1">
        <f>SUMIFS(Ledger!$J$7:$J$1006,Ledger!$C$7:$C$1006,Portfolio!$C$5,Ledger!$E$7:$E$1006,History!E$6,Ledger!$B$7:$B$1006,"&lt;="&amp;$A61)</f>
        <v>130</v>
      </c>
      <c r="F61" s="1">
        <f>SUMIFS(Ledger!$J$7:$J$1006,Ledger!$C$7:$C$1006,Portfolio!$C$5,Ledger!$E$7:$E$1006,History!F$6,Ledger!$B$7:$B$1006,"&lt;="&amp;$A61)</f>
        <v>480</v>
      </c>
      <c r="G61" s="1">
        <f>SUMIFS(Ledger!$J$7:$J$1006,Ledger!$C$7:$C$1006,Portfolio!$C$5,Ledger!$E$7:$E$1006,History!G$6,Ledger!$B$7:$B$1006,"&lt;="&amp;$A61)</f>
        <v>600</v>
      </c>
      <c r="H61" s="8">
        <f>SUMIFS(Ledger!$K$7:$K$1006,Ledger!$C$7:$C$1006,Portfolio!$C$5,Ledger!$B$7:$B$1006,"&lt;="&amp;$A61)</f>
        <v>79138.649000000005</v>
      </c>
      <c r="I61" s="8">
        <f>IF(S61=6,SUMPRODUCT(B61:G61,History!B61:G61),NA())</f>
        <v>454379.68200000003</v>
      </c>
      <c r="J61" s="8">
        <f t="shared" si="2"/>
        <v>533518.33100000001</v>
      </c>
      <c r="K61" s="8">
        <f>SUMIFS(Ledger!$L$7:$L$1006,Ledger!$C$7:$C$1006,Portfolio!$C$5,Ledger!$B$7:$B$1006,$A61)</f>
        <v>0</v>
      </c>
      <c r="L61" s="10">
        <f>IF(A61&lt;Holdings!$G$24,"",IF(A61=Holdings!$G$24,IF(K61&gt;0,J61/K61-1,NA()),IF(J60&gt;0,(J61-K61)/J60-1,NA())))</f>
        <v>2.9121726599388165E-3</v>
      </c>
      <c r="M61" s="11">
        <f>IF(A61&lt;Holdings!$G$24,"",IF(A61=Holdings!$G$24,100*(1+L61),M60*(1+L61)))</f>
        <v>96.849714132091094</v>
      </c>
      <c r="N61" s="11">
        <f>IF(A61&lt;Holdings!$G$24,"",IF(A61=Holdings!$G$24,MAX(100,M61),MAX(N60,M61)))</f>
        <v>101.59037800000002</v>
      </c>
      <c r="O61" s="10">
        <f>IF(A61&lt;Holdings!$G$24,"",M61/N61-1)</f>
        <v>-4.6664496788356491E-2</v>
      </c>
      <c r="P61" s="11">
        <f>IF(A61&lt;Holdings!$G$24,"",IF(History!H61&gt;0,History!H61/INDEX(History!$H$7:$H$136,MATCH(Holdings!$G$24,History!$A$7:$A$136,0))*100,NA()))</f>
        <v>92.373102100000011</v>
      </c>
      <c r="Q61" s="10">
        <f>IF(A61&lt;=Holdings!$G$24,"",P61/P60-1)</f>
        <v>-4.8948501711271186E-3</v>
      </c>
      <c r="R61" s="8">
        <f>IF(A61&gt;Portfolio!$J$5,0,-K61+IF(A61=Portfolio!$J$5,J61,0))</f>
        <v>0</v>
      </c>
      <c r="S61" s="1">
        <f>COUNTIFS(History!B61:G61,"&gt;0")</f>
        <v>6</v>
      </c>
      <c r="T61" s="1" t="str">
        <f t="shared" si="3"/>
        <v>05-Jun</v>
      </c>
      <c r="U61" s="10">
        <f>IF(AND(A61&lt;=Portfolio!$J$5,A61&gt;=Holdings!$G$24),O61,0)</f>
        <v>-4.6664496788356491E-2</v>
      </c>
      <c r="V61" s="12">
        <f>IF(AND(A61&gt;Holdings!$G$24,A61&lt;=Portfolio!$J$5),L61,"")</f>
        <v>2.9121726599388165E-3</v>
      </c>
      <c r="W61" s="12">
        <f>IF(AND(A61&gt;Holdings!$G$24,A61&lt;=Portfolio!$J$5),Q61,"")</f>
        <v>-4.8948501711271186E-3</v>
      </c>
    </row>
    <row r="62" spans="1:23" ht="19.95" customHeight="1" x14ac:dyDescent="0.3">
      <c r="A62" s="7">
        <v>46181</v>
      </c>
      <c r="B62" s="1">
        <f>SUMIFS(Ledger!$J$7:$J$1006,Ledger!$C$7:$C$1006,Portfolio!$C$5,Ledger!$E$7:$E$1006,History!B$6,Ledger!$B$7:$B$1006,"&lt;="&amp;$A62)</f>
        <v>100</v>
      </c>
      <c r="C62" s="1">
        <f>SUMIFS(Ledger!$J$7:$J$1006,Ledger!$C$7:$C$1006,Portfolio!$C$5,Ledger!$E$7:$E$1006,History!C$6,Ledger!$B$7:$B$1006,"&lt;="&amp;$A62)</f>
        <v>100</v>
      </c>
      <c r="D62" s="1">
        <f>SUMIFS(Ledger!$J$7:$J$1006,Ledger!$C$7:$C$1006,Portfolio!$C$5,Ledger!$E$7:$E$1006,History!D$6,Ledger!$B$7:$B$1006,"&lt;="&amp;$A62)</f>
        <v>70</v>
      </c>
      <c r="E62" s="1">
        <f>SUMIFS(Ledger!$J$7:$J$1006,Ledger!$C$7:$C$1006,Portfolio!$C$5,Ledger!$E$7:$E$1006,History!E$6,Ledger!$B$7:$B$1006,"&lt;="&amp;$A62)</f>
        <v>130</v>
      </c>
      <c r="F62" s="1">
        <f>SUMIFS(Ledger!$J$7:$J$1006,Ledger!$C$7:$C$1006,Portfolio!$C$5,Ledger!$E$7:$E$1006,History!F$6,Ledger!$B$7:$B$1006,"&lt;="&amp;$A62)</f>
        <v>480</v>
      </c>
      <c r="G62" s="1">
        <f>SUMIFS(Ledger!$J$7:$J$1006,Ledger!$C$7:$C$1006,Portfolio!$C$5,Ledger!$E$7:$E$1006,History!G$6,Ledger!$B$7:$B$1006,"&lt;="&amp;$A62)</f>
        <v>600</v>
      </c>
      <c r="H62" s="8">
        <f>SUMIFS(Ledger!$K$7:$K$1006,Ledger!$C$7:$C$1006,Portfolio!$C$5,Ledger!$B$7:$B$1006,"&lt;="&amp;$A62)</f>
        <v>79138.649000000005</v>
      </c>
      <c r="I62" s="8">
        <f>IF(S62=6,SUMPRODUCT(B62:G62,History!B62:G62),NA())</f>
        <v>455438.49</v>
      </c>
      <c r="J62" s="8">
        <f t="shared" si="2"/>
        <v>534577.13899999997</v>
      </c>
      <c r="K62" s="8">
        <f>SUMIFS(Ledger!$L$7:$L$1006,Ledger!$C$7:$C$1006,Portfolio!$C$5,Ledger!$B$7:$B$1006,$A62)</f>
        <v>0</v>
      </c>
      <c r="L62" s="10">
        <f>IF(A62&lt;Holdings!$G$24,"",IF(A62=Holdings!$G$24,IF(K62&gt;0,J62/K62-1,NA()),IF(J61&gt;0,(J62-K62)/J61-1,NA())))</f>
        <v>1.9845766086712402E-3</v>
      </c>
      <c r="M62" s="11">
        <f>IF(A62&lt;Holdings!$G$24,"",IF(A62=Holdings!$G$24,100*(1+L62),M61*(1+L62)))</f>
        <v>97.041919809314138</v>
      </c>
      <c r="N62" s="11">
        <f>IF(A62&lt;Holdings!$G$24,"",IF(A62=Holdings!$G$24,MAX(100,M62),MAX(N61,M62)))</f>
        <v>101.59037800000002</v>
      </c>
      <c r="O62" s="10">
        <f>IF(A62&lt;Holdings!$G$24,"",M62/N62-1)</f>
        <v>-4.477252944846688E-2</v>
      </c>
      <c r="P62" s="11">
        <f>IF(A62&lt;Holdings!$G$24,"",IF(History!H62&gt;0,History!H62/INDEX(History!$H$7:$H$136,MATCH(Holdings!$G$24,History!$A$7:$A$136,0))*100,NA()))</f>
        <v>92.719266500000003</v>
      </c>
      <c r="Q62" s="10">
        <f>IF(A62&lt;=Holdings!$G$24,"",P62/P61-1)</f>
        <v>3.7474588611872139E-3</v>
      </c>
      <c r="R62" s="8">
        <f>IF(A62&gt;Portfolio!$J$5,0,-K62+IF(A62=Portfolio!$J$5,J62,0))</f>
        <v>0</v>
      </c>
      <c r="S62" s="1">
        <f>COUNTIFS(History!B62:G62,"&gt;0")</f>
        <v>6</v>
      </c>
      <c r="T62" s="1" t="str">
        <f t="shared" si="3"/>
        <v>08-Jun</v>
      </c>
      <c r="U62" s="10">
        <f>IF(AND(A62&lt;=Portfolio!$J$5,A62&gt;=Holdings!$G$24),O62,0)</f>
        <v>-4.477252944846688E-2</v>
      </c>
      <c r="V62" s="12">
        <f>IF(AND(A62&gt;Holdings!$G$24,A62&lt;=Portfolio!$J$5),L62,"")</f>
        <v>1.9845766086712402E-3</v>
      </c>
      <c r="W62" s="12">
        <f>IF(AND(A62&gt;Holdings!$G$24,A62&lt;=Portfolio!$J$5),Q62,"")</f>
        <v>3.7474588611872139E-3</v>
      </c>
    </row>
    <row r="63" spans="1:23" ht="19.95" customHeight="1" x14ac:dyDescent="0.3">
      <c r="A63" s="7">
        <v>46182</v>
      </c>
      <c r="B63" s="1">
        <f>SUMIFS(Ledger!$J$7:$J$1006,Ledger!$C$7:$C$1006,Portfolio!$C$5,Ledger!$E$7:$E$1006,History!B$6,Ledger!$B$7:$B$1006,"&lt;="&amp;$A63)</f>
        <v>100</v>
      </c>
      <c r="C63" s="1">
        <f>SUMIFS(Ledger!$J$7:$J$1006,Ledger!$C$7:$C$1006,Portfolio!$C$5,Ledger!$E$7:$E$1006,History!C$6,Ledger!$B$7:$B$1006,"&lt;="&amp;$A63)</f>
        <v>100</v>
      </c>
      <c r="D63" s="1">
        <f>SUMIFS(Ledger!$J$7:$J$1006,Ledger!$C$7:$C$1006,Portfolio!$C$5,Ledger!$E$7:$E$1006,History!D$6,Ledger!$B$7:$B$1006,"&lt;="&amp;$A63)</f>
        <v>70</v>
      </c>
      <c r="E63" s="1">
        <f>SUMIFS(Ledger!$J$7:$J$1006,Ledger!$C$7:$C$1006,Portfolio!$C$5,Ledger!$E$7:$E$1006,History!E$6,Ledger!$B$7:$B$1006,"&lt;="&amp;$A63)</f>
        <v>130</v>
      </c>
      <c r="F63" s="1">
        <f>SUMIFS(Ledger!$J$7:$J$1006,Ledger!$C$7:$C$1006,Portfolio!$C$5,Ledger!$E$7:$E$1006,History!F$6,Ledger!$B$7:$B$1006,"&lt;="&amp;$A63)</f>
        <v>480</v>
      </c>
      <c r="G63" s="1">
        <f>SUMIFS(Ledger!$J$7:$J$1006,Ledger!$C$7:$C$1006,Portfolio!$C$5,Ledger!$E$7:$E$1006,History!G$6,Ledger!$B$7:$B$1006,"&lt;="&amp;$A63)</f>
        <v>600</v>
      </c>
      <c r="H63" s="8">
        <f>SUMIFS(Ledger!$K$7:$K$1006,Ledger!$C$7:$C$1006,Portfolio!$C$5,Ledger!$B$7:$B$1006,"&lt;="&amp;$A63)</f>
        <v>79138.649000000005</v>
      </c>
      <c r="I63" s="8">
        <f>IF(S63=6,SUMPRODUCT(B63:G63,History!B63:G63),NA())</f>
        <v>454782.16099999996</v>
      </c>
      <c r="J63" s="8">
        <f t="shared" si="2"/>
        <v>533920.80999999994</v>
      </c>
      <c r="K63" s="8">
        <f>SUMIFS(Ledger!$L$7:$L$1006,Ledger!$C$7:$C$1006,Portfolio!$C$5,Ledger!$B$7:$B$1006,$A63)</f>
        <v>0</v>
      </c>
      <c r="L63" s="10">
        <f>IF(A63&lt;Holdings!$G$24,"",IF(A63=Holdings!$G$24,IF(K63&gt;0,J63/K63-1,NA()),IF(J62&gt;0,(J63-K63)/J62-1,NA())))</f>
        <v>-1.2277535871207945E-3</v>
      </c>
      <c r="M63" s="11">
        <f>IF(A63&lt;Holdings!$G$24,"",IF(A63=Holdings!$G$24,100*(1+L63),M62*(1+L63)))</f>
        <v>96.922776244167167</v>
      </c>
      <c r="N63" s="11">
        <f>IF(A63&lt;Holdings!$G$24,"",IF(A63=Holdings!$G$24,MAX(100,M63),MAX(N62,M63)))</f>
        <v>101.59037800000002</v>
      </c>
      <c r="O63" s="10">
        <f>IF(A63&lt;Holdings!$G$24,"",M63/N63-1)</f>
        <v>-4.5945313401952736E-2</v>
      </c>
      <c r="P63" s="11">
        <f>IF(A63&lt;Holdings!$G$24,"",IF(History!H63&gt;0,History!H63/INDEX(History!$H$7:$H$136,MATCH(Holdings!$G$24,History!$A$7:$A$136,0))*100,NA()))</f>
        <v>92.519671700000004</v>
      </c>
      <c r="Q63" s="10">
        <f>IF(A63&lt;=Holdings!$G$24,"",P63/P62-1)</f>
        <v>-2.1526788070524994E-3</v>
      </c>
      <c r="R63" s="8">
        <f>IF(A63&gt;Portfolio!$J$5,0,-K63+IF(A63=Portfolio!$J$5,J63,0))</f>
        <v>0</v>
      </c>
      <c r="S63" s="1">
        <f>COUNTIFS(History!B63:G63,"&gt;0")</f>
        <v>6</v>
      </c>
      <c r="T63" s="1" t="str">
        <f t="shared" si="3"/>
        <v>09-Jun</v>
      </c>
      <c r="U63" s="10">
        <f>IF(AND(A63&lt;=Portfolio!$J$5,A63&gt;=Holdings!$G$24),O63,0)</f>
        <v>-4.5945313401952736E-2</v>
      </c>
      <c r="V63" s="12">
        <f>IF(AND(A63&gt;Holdings!$G$24,A63&lt;=Portfolio!$J$5),L63,"")</f>
        <v>-1.2277535871207945E-3</v>
      </c>
      <c r="W63" s="12">
        <f>IF(AND(A63&gt;Holdings!$G$24,A63&lt;=Portfolio!$J$5),Q63,"")</f>
        <v>-2.1526788070524994E-3</v>
      </c>
    </row>
    <row r="64" spans="1:23" ht="19.95" customHeight="1" x14ac:dyDescent="0.3">
      <c r="A64" s="7">
        <v>46183</v>
      </c>
      <c r="B64" s="1">
        <f>SUMIFS(Ledger!$J$7:$J$1006,Ledger!$C$7:$C$1006,Portfolio!$C$5,Ledger!$E$7:$E$1006,History!B$6,Ledger!$B$7:$B$1006,"&lt;="&amp;$A64)</f>
        <v>100</v>
      </c>
      <c r="C64" s="1">
        <f>SUMIFS(Ledger!$J$7:$J$1006,Ledger!$C$7:$C$1006,Portfolio!$C$5,Ledger!$E$7:$E$1006,History!C$6,Ledger!$B$7:$B$1006,"&lt;="&amp;$A64)</f>
        <v>100</v>
      </c>
      <c r="D64" s="1">
        <f>SUMIFS(Ledger!$J$7:$J$1006,Ledger!$C$7:$C$1006,Portfolio!$C$5,Ledger!$E$7:$E$1006,History!D$6,Ledger!$B$7:$B$1006,"&lt;="&amp;$A64)</f>
        <v>70</v>
      </c>
      <c r="E64" s="1">
        <f>SUMIFS(Ledger!$J$7:$J$1006,Ledger!$C$7:$C$1006,Portfolio!$C$5,Ledger!$E$7:$E$1006,History!E$6,Ledger!$B$7:$B$1006,"&lt;="&amp;$A64)</f>
        <v>130</v>
      </c>
      <c r="F64" s="1">
        <f>SUMIFS(Ledger!$J$7:$J$1006,Ledger!$C$7:$C$1006,Portfolio!$C$5,Ledger!$E$7:$E$1006,History!F$6,Ledger!$B$7:$B$1006,"&lt;="&amp;$A64)</f>
        <v>480</v>
      </c>
      <c r="G64" s="1">
        <f>SUMIFS(Ledger!$J$7:$J$1006,Ledger!$C$7:$C$1006,Portfolio!$C$5,Ledger!$E$7:$E$1006,History!G$6,Ledger!$B$7:$B$1006,"&lt;="&amp;$A64)</f>
        <v>600</v>
      </c>
      <c r="H64" s="8">
        <f>SUMIFS(Ledger!$K$7:$K$1006,Ledger!$C$7:$C$1006,Portfolio!$C$5,Ledger!$B$7:$B$1006,"&lt;="&amp;$A64)</f>
        <v>79138.649000000005</v>
      </c>
      <c r="I64" s="8">
        <f>IF(S64=6,SUMPRODUCT(B64:G64,History!B64:G64),NA())</f>
        <v>452865.18000000005</v>
      </c>
      <c r="J64" s="8">
        <f t="shared" si="2"/>
        <v>532003.82900000003</v>
      </c>
      <c r="K64" s="8">
        <f>SUMIFS(Ledger!$L$7:$L$1006,Ledger!$C$7:$C$1006,Portfolio!$C$5,Ledger!$B$7:$B$1006,$A64)</f>
        <v>0</v>
      </c>
      <c r="L64" s="10">
        <f>IF(A64&lt;Holdings!$G$24,"",IF(A64=Holdings!$G$24,IF(K64&gt;0,J64/K64-1,NA()),IF(J63&gt;0,(J64-K64)/J63-1,NA())))</f>
        <v>-3.5903844991542755E-3</v>
      </c>
      <c r="M64" s="11">
        <f>IF(A64&lt;Holdings!$G$24,"",IF(A64=Holdings!$G$24,100*(1+L64),M63*(1+L64)))</f>
        <v>96.574786210725108</v>
      </c>
      <c r="N64" s="11">
        <f>IF(A64&lt;Holdings!$G$24,"",IF(A64=Holdings!$G$24,MAX(100,M64),MAX(N63,M64)))</f>
        <v>101.59037800000002</v>
      </c>
      <c r="O64" s="10">
        <f>IF(A64&lt;Holdings!$G$24,"",M64/N64-1)</f>
        <v>-4.9370736560059969E-2</v>
      </c>
      <c r="P64" s="11">
        <f>IF(A64&lt;Holdings!$G$24,"",IF(History!H64&gt;0,History!H64/INDEX(History!$H$7:$H$136,MATCH(Holdings!$G$24,History!$A$7:$A$136,0))*100,NA()))</f>
        <v>92.596194699999998</v>
      </c>
      <c r="Q64" s="10">
        <f>IF(A64&lt;=Holdings!$G$24,"",P64/P63-1)</f>
        <v>8.2709977882466923E-4</v>
      </c>
      <c r="R64" s="8">
        <f>IF(A64&gt;Portfolio!$J$5,0,-K64+IF(A64=Portfolio!$J$5,J64,0))</f>
        <v>0</v>
      </c>
      <c r="S64" s="1">
        <f>COUNTIFS(History!B64:G64,"&gt;0")</f>
        <v>6</v>
      </c>
      <c r="T64" s="1" t="str">
        <f t="shared" si="3"/>
        <v>10-Jun</v>
      </c>
      <c r="U64" s="10">
        <f>IF(AND(A64&lt;=Portfolio!$J$5,A64&gt;=Holdings!$G$24),O64,0)</f>
        <v>-4.9370736560059969E-2</v>
      </c>
      <c r="V64" s="12">
        <f>IF(AND(A64&gt;Holdings!$G$24,A64&lt;=Portfolio!$J$5),L64,"")</f>
        <v>-3.5903844991542755E-3</v>
      </c>
      <c r="W64" s="12">
        <f>IF(AND(A64&gt;Holdings!$G$24,A64&lt;=Portfolio!$J$5),Q64,"")</f>
        <v>8.2709977882466923E-4</v>
      </c>
    </row>
    <row r="65" spans="1:23" ht="19.95" customHeight="1" x14ac:dyDescent="0.3">
      <c r="A65" s="7">
        <v>46184</v>
      </c>
      <c r="B65" s="1">
        <f>SUMIFS(Ledger!$J$7:$J$1006,Ledger!$C$7:$C$1006,Portfolio!$C$5,Ledger!$E$7:$E$1006,History!B$6,Ledger!$B$7:$B$1006,"&lt;="&amp;$A65)</f>
        <v>100</v>
      </c>
      <c r="C65" s="1">
        <f>SUMIFS(Ledger!$J$7:$J$1006,Ledger!$C$7:$C$1006,Portfolio!$C$5,Ledger!$E$7:$E$1006,History!C$6,Ledger!$B$7:$B$1006,"&lt;="&amp;$A65)</f>
        <v>100</v>
      </c>
      <c r="D65" s="1">
        <f>SUMIFS(Ledger!$J$7:$J$1006,Ledger!$C$7:$C$1006,Portfolio!$C$5,Ledger!$E$7:$E$1006,History!D$6,Ledger!$B$7:$B$1006,"&lt;="&amp;$A65)</f>
        <v>70</v>
      </c>
      <c r="E65" s="1">
        <f>SUMIFS(Ledger!$J$7:$J$1006,Ledger!$C$7:$C$1006,Portfolio!$C$5,Ledger!$E$7:$E$1006,History!E$6,Ledger!$B$7:$B$1006,"&lt;="&amp;$A65)</f>
        <v>130</v>
      </c>
      <c r="F65" s="1">
        <f>SUMIFS(Ledger!$J$7:$J$1006,Ledger!$C$7:$C$1006,Portfolio!$C$5,Ledger!$E$7:$E$1006,History!F$6,Ledger!$B$7:$B$1006,"&lt;="&amp;$A65)</f>
        <v>480</v>
      </c>
      <c r="G65" s="1">
        <f>SUMIFS(Ledger!$J$7:$J$1006,Ledger!$C$7:$C$1006,Portfolio!$C$5,Ledger!$E$7:$E$1006,History!G$6,Ledger!$B$7:$B$1006,"&lt;="&amp;$A65)</f>
        <v>600</v>
      </c>
      <c r="H65" s="8">
        <f>SUMIFS(Ledger!$K$7:$K$1006,Ledger!$C$7:$C$1006,Portfolio!$C$5,Ledger!$B$7:$B$1006,"&lt;="&amp;$A65)</f>
        <v>79138.649000000005</v>
      </c>
      <c r="I65" s="8">
        <f>IF(S65=6,SUMPRODUCT(B65:G65,History!B65:G65),NA())</f>
        <v>448892.06899999996</v>
      </c>
      <c r="J65" s="8">
        <f t="shared" si="2"/>
        <v>528030.71799999999</v>
      </c>
      <c r="K65" s="8">
        <f>SUMIFS(Ledger!$L$7:$L$1006,Ledger!$C$7:$C$1006,Portfolio!$C$5,Ledger!$B$7:$B$1006,$A65)</f>
        <v>0</v>
      </c>
      <c r="L65" s="10">
        <f>IF(A65&lt;Holdings!$G$24,"",IF(A65=Holdings!$G$24,IF(K65&gt;0,J65/K65-1,NA()),IF(J64&gt;0,(J65-K65)/J64-1,NA())))</f>
        <v>-7.4682000080116273E-3</v>
      </c>
      <c r="M65" s="11">
        <f>IF(A65&lt;Holdings!$G$24,"",IF(A65=Holdings!$G$24,100*(1+L65),M64*(1+L65)))</f>
        <v>95.853546391572451</v>
      </c>
      <c r="N65" s="11">
        <f>IF(A65&lt;Holdings!$G$24,"",IF(A65=Holdings!$G$24,MAX(100,M65),MAX(N64,M65)))</f>
        <v>101.59037800000002</v>
      </c>
      <c r="O65" s="10">
        <f>IF(A65&lt;Holdings!$G$24,"",M65/N65-1)</f>
        <v>-5.6470226032898196E-2</v>
      </c>
      <c r="P65" s="11">
        <f>IF(A65&lt;Holdings!$G$24,"",IF(History!H65&gt;0,History!H65/INDEX(History!$H$7:$H$136,MATCH(Holdings!$G$24,History!$A$7:$A$136,0))*100,NA()))</f>
        <v>92.262055500000002</v>
      </c>
      <c r="Q65" s="10">
        <f>IF(A65&lt;=Holdings!$G$24,"",P65/P64-1)</f>
        <v>-3.6085629769405658E-3</v>
      </c>
      <c r="R65" s="8">
        <f>IF(A65&gt;Portfolio!$J$5,0,-K65+IF(A65=Portfolio!$J$5,J65,0))</f>
        <v>0</v>
      </c>
      <c r="S65" s="1">
        <f>COUNTIFS(History!B65:G65,"&gt;0")</f>
        <v>6</v>
      </c>
      <c r="T65" s="1" t="str">
        <f t="shared" si="3"/>
        <v>11-Jun</v>
      </c>
      <c r="U65" s="10">
        <f>IF(AND(A65&lt;=Portfolio!$J$5,A65&gt;=Holdings!$G$24),O65,0)</f>
        <v>-5.6470226032898196E-2</v>
      </c>
      <c r="V65" s="12">
        <f>IF(AND(A65&gt;Holdings!$G$24,A65&lt;=Portfolio!$J$5),L65,"")</f>
        <v>-7.4682000080116273E-3</v>
      </c>
      <c r="W65" s="12">
        <f>IF(AND(A65&gt;Holdings!$G$24,A65&lt;=Portfolio!$J$5),Q65,"")</f>
        <v>-3.6085629769405658E-3</v>
      </c>
    </row>
    <row r="66" spans="1:23" ht="19.95" customHeight="1" x14ac:dyDescent="0.3">
      <c r="A66" s="7">
        <v>46185</v>
      </c>
      <c r="B66" s="1">
        <f>SUMIFS(Ledger!$J$7:$J$1006,Ledger!$C$7:$C$1006,Portfolio!$C$5,Ledger!$E$7:$E$1006,History!B$6,Ledger!$B$7:$B$1006,"&lt;="&amp;$A66)</f>
        <v>100</v>
      </c>
      <c r="C66" s="1">
        <f>SUMIFS(Ledger!$J$7:$J$1006,Ledger!$C$7:$C$1006,Portfolio!$C$5,Ledger!$E$7:$E$1006,History!C$6,Ledger!$B$7:$B$1006,"&lt;="&amp;$A66)</f>
        <v>100</v>
      </c>
      <c r="D66" s="1">
        <f>SUMIFS(Ledger!$J$7:$J$1006,Ledger!$C$7:$C$1006,Portfolio!$C$5,Ledger!$E$7:$E$1006,History!D$6,Ledger!$B$7:$B$1006,"&lt;="&amp;$A66)</f>
        <v>70</v>
      </c>
      <c r="E66" s="1">
        <f>SUMIFS(Ledger!$J$7:$J$1006,Ledger!$C$7:$C$1006,Portfolio!$C$5,Ledger!$E$7:$E$1006,History!E$6,Ledger!$B$7:$B$1006,"&lt;="&amp;$A66)</f>
        <v>130</v>
      </c>
      <c r="F66" s="1">
        <f>SUMIFS(Ledger!$J$7:$J$1006,Ledger!$C$7:$C$1006,Portfolio!$C$5,Ledger!$E$7:$E$1006,History!F$6,Ledger!$B$7:$B$1006,"&lt;="&amp;$A66)</f>
        <v>480</v>
      </c>
      <c r="G66" s="1">
        <f>SUMIFS(Ledger!$J$7:$J$1006,Ledger!$C$7:$C$1006,Portfolio!$C$5,Ledger!$E$7:$E$1006,History!G$6,Ledger!$B$7:$B$1006,"&lt;="&amp;$A66)</f>
        <v>600</v>
      </c>
      <c r="H66" s="8">
        <f>SUMIFS(Ledger!$K$7:$K$1006,Ledger!$C$7:$C$1006,Portfolio!$C$5,Ledger!$B$7:$B$1006,"&lt;="&amp;$A66)</f>
        <v>79138.649000000005</v>
      </c>
      <c r="I66" s="8">
        <f>IF(S66=6,SUMPRODUCT(B66:G66,History!B66:G66),NA())</f>
        <v>448310.46399999998</v>
      </c>
      <c r="J66" s="8">
        <f t="shared" si="2"/>
        <v>527449.11300000001</v>
      </c>
      <c r="K66" s="8">
        <f>SUMIFS(Ledger!$L$7:$L$1006,Ledger!$C$7:$C$1006,Portfolio!$C$5,Ledger!$B$7:$B$1006,$A66)</f>
        <v>0</v>
      </c>
      <c r="L66" s="10">
        <f>IF(A66&lt;Holdings!$G$24,"",IF(A66=Holdings!$G$24,IF(K66&gt;0,J66/K66-1,NA()),IF(J65&gt;0,(J66-K66)/J65-1,NA())))</f>
        <v>-1.1014605404073841E-3</v>
      </c>
      <c r="M66" s="11">
        <f>IF(A66&lt;Holdings!$G$24,"",IF(A66=Holdings!$G$24,100*(1+L66),M65*(1+L66)))</f>
        <v>95.74796749256403</v>
      </c>
      <c r="N66" s="11">
        <f>IF(A66&lt;Holdings!$G$24,"",IF(A66=Holdings!$G$24,MAX(100,M66),MAX(N65,M66)))</f>
        <v>101.59037800000002</v>
      </c>
      <c r="O66" s="10">
        <f>IF(A66&lt;Holdings!$G$24,"",M66/N66-1)</f>
        <v>-5.750948684762236E-2</v>
      </c>
      <c r="P66" s="11">
        <f>IF(A66&lt;Holdings!$G$24,"",IF(History!H66&gt;0,History!H66/INDEX(History!$H$7:$H$136,MATCH(Holdings!$G$24,History!$A$7:$A$136,0))*100,NA()))</f>
        <v>92.297650999999988</v>
      </c>
      <c r="Q66" s="10">
        <f>IF(A66&lt;=Holdings!$G$24,"",P66/P65-1)</f>
        <v>3.8580865998572023E-4</v>
      </c>
      <c r="R66" s="8">
        <f>IF(A66&gt;Portfolio!$J$5,0,-K66+IF(A66=Portfolio!$J$5,J66,0))</f>
        <v>0</v>
      </c>
      <c r="S66" s="1">
        <f>COUNTIFS(History!B66:G66,"&gt;0")</f>
        <v>6</v>
      </c>
      <c r="T66" s="1" t="str">
        <f t="shared" si="3"/>
        <v>12-Jun</v>
      </c>
      <c r="U66" s="10">
        <f>IF(AND(A66&lt;=Portfolio!$J$5,A66&gt;=Holdings!$G$24),O66,0)</f>
        <v>-5.750948684762236E-2</v>
      </c>
      <c r="V66" s="12">
        <f>IF(AND(A66&gt;Holdings!$G$24,A66&lt;=Portfolio!$J$5),L66,"")</f>
        <v>-1.1014605404073841E-3</v>
      </c>
      <c r="W66" s="12">
        <f>IF(AND(A66&gt;Holdings!$G$24,A66&lt;=Portfolio!$J$5),Q66,"")</f>
        <v>3.8580865998572023E-4</v>
      </c>
    </row>
    <row r="67" spans="1:23" ht="19.95" customHeight="1" x14ac:dyDescent="0.3">
      <c r="A67" s="7">
        <v>46188</v>
      </c>
      <c r="B67" s="1">
        <f>SUMIFS(Ledger!$J$7:$J$1006,Ledger!$C$7:$C$1006,Portfolio!$C$5,Ledger!$E$7:$E$1006,History!B$6,Ledger!$B$7:$B$1006,"&lt;="&amp;$A67)</f>
        <v>100</v>
      </c>
      <c r="C67" s="1">
        <f>SUMIFS(Ledger!$J$7:$J$1006,Ledger!$C$7:$C$1006,Portfolio!$C$5,Ledger!$E$7:$E$1006,History!C$6,Ledger!$B$7:$B$1006,"&lt;="&amp;$A67)</f>
        <v>100</v>
      </c>
      <c r="D67" s="1">
        <f>SUMIFS(Ledger!$J$7:$J$1006,Ledger!$C$7:$C$1006,Portfolio!$C$5,Ledger!$E$7:$E$1006,History!D$6,Ledger!$B$7:$B$1006,"&lt;="&amp;$A67)</f>
        <v>70</v>
      </c>
      <c r="E67" s="1">
        <f>SUMIFS(Ledger!$J$7:$J$1006,Ledger!$C$7:$C$1006,Portfolio!$C$5,Ledger!$E$7:$E$1006,History!E$6,Ledger!$B$7:$B$1006,"&lt;="&amp;$A67)</f>
        <v>130</v>
      </c>
      <c r="F67" s="1">
        <f>SUMIFS(Ledger!$J$7:$J$1006,Ledger!$C$7:$C$1006,Portfolio!$C$5,Ledger!$E$7:$E$1006,History!F$6,Ledger!$B$7:$B$1006,"&lt;="&amp;$A67)</f>
        <v>480</v>
      </c>
      <c r="G67" s="1">
        <f>SUMIFS(Ledger!$J$7:$J$1006,Ledger!$C$7:$C$1006,Portfolio!$C$5,Ledger!$E$7:$E$1006,History!G$6,Ledger!$B$7:$B$1006,"&lt;="&amp;$A67)</f>
        <v>600</v>
      </c>
      <c r="H67" s="8">
        <f>SUMIFS(Ledger!$K$7:$K$1006,Ledger!$C$7:$C$1006,Portfolio!$C$5,Ledger!$B$7:$B$1006,"&lt;="&amp;$A67)</f>
        <v>79138.649000000005</v>
      </c>
      <c r="I67" s="8">
        <f>IF(S67=6,SUMPRODUCT(B67:G67,History!B67:G67),NA())</f>
        <v>451855.66100000002</v>
      </c>
      <c r="J67" s="8">
        <f t="shared" si="2"/>
        <v>530994.31000000006</v>
      </c>
      <c r="K67" s="8">
        <f>SUMIFS(Ledger!$L$7:$L$1006,Ledger!$C$7:$C$1006,Portfolio!$C$5,Ledger!$B$7:$B$1006,$A67)</f>
        <v>0</v>
      </c>
      <c r="L67" s="10">
        <f>IF(A67&lt;Holdings!$G$24,"",IF(A67=Holdings!$G$24,IF(K67&gt;0,J67/K67-1,NA()),IF(J66&gt;0,(J67-K67)/J66-1,NA())))</f>
        <v>6.7214010084040154E-3</v>
      </c>
      <c r="M67" s="11">
        <f>IF(A67&lt;Holdings!$G$24,"",IF(A67=Holdings!$G$24,100*(1+L67),M66*(1+L67)))</f>
        <v>96.391527977821184</v>
      </c>
      <c r="N67" s="11">
        <f>IF(A67&lt;Holdings!$G$24,"",IF(A67=Holdings!$G$24,MAX(100,M67),MAX(N66,M67)))</f>
        <v>101.59037800000002</v>
      </c>
      <c r="O67" s="10">
        <f>IF(A67&lt;Holdings!$G$24,"",M67/N67-1)</f>
        <v>-5.117463016210877E-2</v>
      </c>
      <c r="P67" s="11">
        <f>IF(A67&lt;Holdings!$G$24,"",IF(History!H67&gt;0,History!H67/INDEX(History!$H$7:$H$136,MATCH(Holdings!$G$24,History!$A$7:$A$136,0))*100,NA()))</f>
        <v>92.889092500000004</v>
      </c>
      <c r="Q67" s="10">
        <f>IF(A67&lt;=Holdings!$G$24,"",P67/P66-1)</f>
        <v>6.4079799820693228E-3</v>
      </c>
      <c r="R67" s="8">
        <f>IF(A67&gt;Portfolio!$J$5,0,-K67+IF(A67=Portfolio!$J$5,J67,0))</f>
        <v>0</v>
      </c>
      <c r="S67" s="1">
        <f>COUNTIFS(History!B67:G67,"&gt;0")</f>
        <v>6</v>
      </c>
      <c r="T67" s="1" t="str">
        <f t="shared" si="3"/>
        <v>15-Jun</v>
      </c>
      <c r="U67" s="10">
        <f>IF(AND(A67&lt;=Portfolio!$J$5,A67&gt;=Holdings!$G$24),O67,0)</f>
        <v>-5.117463016210877E-2</v>
      </c>
      <c r="V67" s="12">
        <f>IF(AND(A67&gt;Holdings!$G$24,A67&lt;=Portfolio!$J$5),L67,"")</f>
        <v>6.7214010084040154E-3</v>
      </c>
      <c r="W67" s="12">
        <f>IF(AND(A67&gt;Holdings!$G$24,A67&lt;=Portfolio!$J$5),Q67,"")</f>
        <v>6.4079799820693228E-3</v>
      </c>
    </row>
    <row r="68" spans="1:23" ht="19.95" customHeight="1" x14ac:dyDescent="0.3">
      <c r="A68" s="7">
        <v>46189</v>
      </c>
      <c r="B68" s="1">
        <f>SUMIFS(Ledger!$J$7:$J$1006,Ledger!$C$7:$C$1006,Portfolio!$C$5,Ledger!$E$7:$E$1006,History!B$6,Ledger!$B$7:$B$1006,"&lt;="&amp;$A68)</f>
        <v>100</v>
      </c>
      <c r="C68" s="1">
        <f>SUMIFS(Ledger!$J$7:$J$1006,Ledger!$C$7:$C$1006,Portfolio!$C$5,Ledger!$E$7:$E$1006,History!C$6,Ledger!$B$7:$B$1006,"&lt;="&amp;$A68)</f>
        <v>100</v>
      </c>
      <c r="D68" s="1">
        <f>SUMIFS(Ledger!$J$7:$J$1006,Ledger!$C$7:$C$1006,Portfolio!$C$5,Ledger!$E$7:$E$1006,History!D$6,Ledger!$B$7:$B$1006,"&lt;="&amp;$A68)</f>
        <v>70</v>
      </c>
      <c r="E68" s="1">
        <f>SUMIFS(Ledger!$J$7:$J$1006,Ledger!$C$7:$C$1006,Portfolio!$C$5,Ledger!$E$7:$E$1006,History!E$6,Ledger!$B$7:$B$1006,"&lt;="&amp;$A68)</f>
        <v>130</v>
      </c>
      <c r="F68" s="1">
        <f>SUMIFS(Ledger!$J$7:$J$1006,Ledger!$C$7:$C$1006,Portfolio!$C$5,Ledger!$E$7:$E$1006,History!F$6,Ledger!$B$7:$B$1006,"&lt;="&amp;$A68)</f>
        <v>480</v>
      </c>
      <c r="G68" s="1">
        <f>SUMIFS(Ledger!$J$7:$J$1006,Ledger!$C$7:$C$1006,Portfolio!$C$5,Ledger!$E$7:$E$1006,History!G$6,Ledger!$B$7:$B$1006,"&lt;="&amp;$A68)</f>
        <v>600</v>
      </c>
      <c r="H68" s="8">
        <f>SUMIFS(Ledger!$K$7:$K$1006,Ledger!$C$7:$C$1006,Portfolio!$C$5,Ledger!$B$7:$B$1006,"&lt;="&amp;$A68)</f>
        <v>79138.649000000005</v>
      </c>
      <c r="I68" s="8">
        <f>IF(S68=6,SUMPRODUCT(B68:G68,History!B68:G68),NA())</f>
        <v>453146.92700000003</v>
      </c>
      <c r="J68" s="8">
        <f t="shared" si="2"/>
        <v>532285.576</v>
      </c>
      <c r="K68" s="8">
        <f>SUMIFS(Ledger!$L$7:$L$1006,Ledger!$C$7:$C$1006,Portfolio!$C$5,Ledger!$B$7:$B$1006,$A68)</f>
        <v>0</v>
      </c>
      <c r="L68" s="10">
        <f>IF(A68&lt;Holdings!$G$24,"",IF(A68=Holdings!$G$24,IF(K68&gt;0,J68/K68-1,NA()),IF(J67&gt;0,(J68-K68)/J67-1,NA())))</f>
        <v>2.431788770015153E-3</v>
      </c>
      <c r="M68" s="11">
        <f>IF(A68&lt;Holdings!$G$24,"",IF(A68=Holdings!$G$24,100*(1+L68),M67*(1+L68)))</f>
        <v>96.625931813082246</v>
      </c>
      <c r="N68" s="11">
        <f>IF(A68&lt;Holdings!$G$24,"",IF(A68=Holdings!$G$24,MAX(100,M68),MAX(N67,M68)))</f>
        <v>101.59037800000002</v>
      </c>
      <c r="O68" s="10">
        <f>IF(A68&lt;Holdings!$G$24,"",M68/N68-1)</f>
        <v>-4.886728728303158E-2</v>
      </c>
      <c r="P68" s="11">
        <f>IF(A68&lt;Holdings!$G$24,"",IF(History!H68&gt;0,History!H68/INDEX(History!$H$7:$H$136,MATCH(Holdings!$G$24,History!$A$7:$A$136,0))*100,NA()))</f>
        <v>93.35020200000001</v>
      </c>
      <c r="Q68" s="10">
        <f>IF(A68&lt;=Holdings!$G$24,"",P68/P67-1)</f>
        <v>4.9640866068316747E-3</v>
      </c>
      <c r="R68" s="8">
        <f>IF(A68&gt;Portfolio!$J$5,0,-K68+IF(A68=Portfolio!$J$5,J68,0))</f>
        <v>0</v>
      </c>
      <c r="S68" s="1">
        <f>COUNTIFS(History!B68:G68,"&gt;0")</f>
        <v>6</v>
      </c>
      <c r="T68" s="1" t="str">
        <f t="shared" si="3"/>
        <v>16-Jun</v>
      </c>
      <c r="U68" s="10">
        <f>IF(AND(A68&lt;=Portfolio!$J$5,A68&gt;=Holdings!$G$24),O68,0)</f>
        <v>-4.886728728303158E-2</v>
      </c>
      <c r="V68" s="12">
        <f>IF(AND(A68&gt;Holdings!$G$24,A68&lt;=Portfolio!$J$5),L68,"")</f>
        <v>2.431788770015153E-3</v>
      </c>
      <c r="W68" s="12">
        <f>IF(AND(A68&gt;Holdings!$G$24,A68&lt;=Portfolio!$J$5),Q68,"")</f>
        <v>4.9640866068316747E-3</v>
      </c>
    </row>
    <row r="69" spans="1:23" ht="19.95" customHeight="1" x14ac:dyDescent="0.3">
      <c r="A69" s="7">
        <v>46190</v>
      </c>
      <c r="B69" s="1">
        <f>SUMIFS(Ledger!$J$7:$J$1006,Ledger!$C$7:$C$1006,Portfolio!$C$5,Ledger!$E$7:$E$1006,History!B$6,Ledger!$B$7:$B$1006,"&lt;="&amp;$A69)</f>
        <v>100</v>
      </c>
      <c r="C69" s="1">
        <f>SUMIFS(Ledger!$J$7:$J$1006,Ledger!$C$7:$C$1006,Portfolio!$C$5,Ledger!$E$7:$E$1006,History!C$6,Ledger!$B$7:$B$1006,"&lt;="&amp;$A69)</f>
        <v>100</v>
      </c>
      <c r="D69" s="1">
        <f>SUMIFS(Ledger!$J$7:$J$1006,Ledger!$C$7:$C$1006,Portfolio!$C$5,Ledger!$E$7:$E$1006,History!D$6,Ledger!$B$7:$B$1006,"&lt;="&amp;$A69)</f>
        <v>70</v>
      </c>
      <c r="E69" s="1">
        <f>SUMIFS(Ledger!$J$7:$J$1006,Ledger!$C$7:$C$1006,Portfolio!$C$5,Ledger!$E$7:$E$1006,History!E$6,Ledger!$B$7:$B$1006,"&lt;="&amp;$A69)</f>
        <v>130</v>
      </c>
      <c r="F69" s="1">
        <f>SUMIFS(Ledger!$J$7:$J$1006,Ledger!$C$7:$C$1006,Portfolio!$C$5,Ledger!$E$7:$E$1006,History!F$6,Ledger!$B$7:$B$1006,"&lt;="&amp;$A69)</f>
        <v>480</v>
      </c>
      <c r="G69" s="1">
        <f>SUMIFS(Ledger!$J$7:$J$1006,Ledger!$C$7:$C$1006,Portfolio!$C$5,Ledger!$E$7:$E$1006,History!G$6,Ledger!$B$7:$B$1006,"&lt;="&amp;$A69)</f>
        <v>600</v>
      </c>
      <c r="H69" s="8">
        <f>SUMIFS(Ledger!$K$7:$K$1006,Ledger!$C$7:$C$1006,Portfolio!$C$5,Ledger!$B$7:$B$1006,"&lt;="&amp;$A69)</f>
        <v>79138.649000000005</v>
      </c>
      <c r="I69" s="8">
        <f>IF(S69=6,SUMPRODUCT(B69:G69,History!B69:G69),NA())</f>
        <v>453951.80499999999</v>
      </c>
      <c r="J69" s="8">
        <f t="shared" si="2"/>
        <v>533090.45400000003</v>
      </c>
      <c r="K69" s="8">
        <f>SUMIFS(Ledger!$L$7:$L$1006,Ledger!$C$7:$C$1006,Portfolio!$C$5,Ledger!$B$7:$B$1006,$A69)</f>
        <v>0</v>
      </c>
      <c r="L69" s="10">
        <f>IF(A69&lt;Holdings!$G$24,"",IF(A69=Holdings!$G$24,IF(K69&gt;0,J69/K69-1,NA()),IF(J68&gt;0,(J69-K69)/J68-1,NA())))</f>
        <v>1.5121168716396571E-3</v>
      </c>
      <c r="M69" s="11">
        <f>IF(A69&lt;Holdings!$G$24,"",IF(A69=Holdings!$G$24,100*(1+L69),M68*(1+L69)))</f>
        <v>96.772041514814717</v>
      </c>
      <c r="N69" s="11">
        <f>IF(A69&lt;Holdings!$G$24,"",IF(A69=Holdings!$G$24,MAX(100,M69),MAX(N68,M69)))</f>
        <v>101.59037800000002</v>
      </c>
      <c r="O69" s="10">
        <f>IF(A69&lt;Holdings!$G$24,"",M69/N69-1)</f>
        <v>-4.7429063460963761E-2</v>
      </c>
      <c r="P69" s="11">
        <f>IF(A69&lt;Holdings!$G$24,"",IF(History!H69&gt;0,History!H69/INDEX(History!$H$7:$H$136,MATCH(Holdings!$G$24,History!$A$7:$A$136,0))*100,NA()))</f>
        <v>93.546917499999992</v>
      </c>
      <c r="Q69" s="10">
        <f>IF(A69&lt;=Holdings!$G$24,"",P69/P68-1)</f>
        <v>2.1072852097308026E-3</v>
      </c>
      <c r="R69" s="8">
        <f>IF(A69&gt;Portfolio!$J$5,0,-K69+IF(A69=Portfolio!$J$5,J69,0))</f>
        <v>0</v>
      </c>
      <c r="S69" s="1">
        <f>COUNTIFS(History!B69:G69,"&gt;0")</f>
        <v>6</v>
      </c>
      <c r="T69" s="1" t="str">
        <f t="shared" si="3"/>
        <v>17-Jun</v>
      </c>
      <c r="U69" s="10">
        <f>IF(AND(A69&lt;=Portfolio!$J$5,A69&gt;=Holdings!$G$24),O69,0)</f>
        <v>-4.7429063460963761E-2</v>
      </c>
      <c r="V69" s="12">
        <f>IF(AND(A69&gt;Holdings!$G$24,A69&lt;=Portfolio!$J$5),L69,"")</f>
        <v>1.5121168716396571E-3</v>
      </c>
      <c r="W69" s="12">
        <f>IF(AND(A69&gt;Holdings!$G$24,A69&lt;=Portfolio!$J$5),Q69,"")</f>
        <v>2.1072852097308026E-3</v>
      </c>
    </row>
    <row r="70" spans="1:23" ht="19.95" customHeight="1" x14ac:dyDescent="0.3">
      <c r="A70" s="7">
        <v>46191</v>
      </c>
      <c r="B70" s="1">
        <f>SUMIFS(Ledger!$J$7:$J$1006,Ledger!$C$7:$C$1006,Portfolio!$C$5,Ledger!$E$7:$E$1006,History!B$6,Ledger!$B$7:$B$1006,"&lt;="&amp;$A70)</f>
        <v>100</v>
      </c>
      <c r="C70" s="1">
        <f>SUMIFS(Ledger!$J$7:$J$1006,Ledger!$C$7:$C$1006,Portfolio!$C$5,Ledger!$E$7:$E$1006,History!C$6,Ledger!$B$7:$B$1006,"&lt;="&amp;$A70)</f>
        <v>100</v>
      </c>
      <c r="D70" s="1">
        <f>SUMIFS(Ledger!$J$7:$J$1006,Ledger!$C$7:$C$1006,Portfolio!$C$5,Ledger!$E$7:$E$1006,History!D$6,Ledger!$B$7:$B$1006,"&lt;="&amp;$A70)</f>
        <v>70</v>
      </c>
      <c r="E70" s="1">
        <f>SUMIFS(Ledger!$J$7:$J$1006,Ledger!$C$7:$C$1006,Portfolio!$C$5,Ledger!$E$7:$E$1006,History!E$6,Ledger!$B$7:$B$1006,"&lt;="&amp;$A70)</f>
        <v>130</v>
      </c>
      <c r="F70" s="1">
        <f>SUMIFS(Ledger!$J$7:$J$1006,Ledger!$C$7:$C$1006,Portfolio!$C$5,Ledger!$E$7:$E$1006,History!F$6,Ledger!$B$7:$B$1006,"&lt;="&amp;$A70)</f>
        <v>480</v>
      </c>
      <c r="G70" s="1">
        <f>SUMIFS(Ledger!$J$7:$J$1006,Ledger!$C$7:$C$1006,Portfolio!$C$5,Ledger!$E$7:$E$1006,History!G$6,Ledger!$B$7:$B$1006,"&lt;="&amp;$A70)</f>
        <v>600</v>
      </c>
      <c r="H70" s="8">
        <f>SUMIFS(Ledger!$K$7:$K$1006,Ledger!$C$7:$C$1006,Portfolio!$C$5,Ledger!$B$7:$B$1006,"&lt;="&amp;$A70)</f>
        <v>79138.649000000005</v>
      </c>
      <c r="I70" s="8">
        <f>IF(S70=6,SUMPRODUCT(B70:G70,History!B70:G70),NA())</f>
        <v>453821.88400000002</v>
      </c>
      <c r="J70" s="8">
        <f t="shared" si="2"/>
        <v>532960.53300000005</v>
      </c>
      <c r="K70" s="8">
        <f>SUMIFS(Ledger!$L$7:$L$1006,Ledger!$C$7:$C$1006,Portfolio!$C$5,Ledger!$B$7:$B$1006,$A70)</f>
        <v>0</v>
      </c>
      <c r="L70" s="10">
        <f>IF(A70&lt;Holdings!$G$24,"",IF(A70=Holdings!$G$24,IF(K70&gt;0,J70/K70-1,NA()),IF(J69&gt;0,(J70-K70)/J69-1,NA())))</f>
        <v>-2.4371286153246352E-4</v>
      </c>
      <c r="M70" s="11">
        <f>IF(A70&lt;Holdings!$G$24,"",IF(A70=Holdings!$G$24,100*(1+L70),M69*(1+L70)))</f>
        <v>96.748456923660797</v>
      </c>
      <c r="N70" s="11">
        <f>IF(A70&lt;Holdings!$G$24,"",IF(A70=Holdings!$G$24,MAX(100,M70),MAX(N69,M70)))</f>
        <v>101.59037800000002</v>
      </c>
      <c r="O70" s="10">
        <f>IF(A70&lt;Holdings!$G$24,"",M70/N70-1)</f>
        <v>-4.7661217249720389E-2</v>
      </c>
      <c r="P70" s="11">
        <f>IF(A70&lt;Holdings!$G$24,"",IF(History!H70&gt;0,History!H70/INDEX(History!$H$7:$H$136,MATCH(Holdings!$G$24,History!$A$7:$A$136,0))*100,NA()))</f>
        <v>93.487624600000004</v>
      </c>
      <c r="Q70" s="10">
        <f>IF(A70&lt;=Holdings!$G$24,"",P70/P69-1)</f>
        <v>-6.3383061232336058E-4</v>
      </c>
      <c r="R70" s="8">
        <f>IF(A70&gt;Portfolio!$J$5,0,-K70+IF(A70=Portfolio!$J$5,J70,0))</f>
        <v>0</v>
      </c>
      <c r="S70" s="1">
        <f>COUNTIFS(History!B70:G70,"&gt;0")</f>
        <v>6</v>
      </c>
      <c r="T70" s="1" t="str">
        <f t="shared" si="3"/>
        <v>18-Jun</v>
      </c>
      <c r="U70" s="10">
        <f>IF(AND(A70&lt;=Portfolio!$J$5,A70&gt;=Holdings!$G$24),O70,0)</f>
        <v>-4.7661217249720389E-2</v>
      </c>
      <c r="V70" s="12">
        <f>IF(AND(A70&gt;Holdings!$G$24,A70&lt;=Portfolio!$J$5),L70,"")</f>
        <v>-2.4371286153246352E-4</v>
      </c>
      <c r="W70" s="12">
        <f>IF(AND(A70&gt;Holdings!$G$24,A70&lt;=Portfolio!$J$5),Q70,"")</f>
        <v>-6.3383061232336058E-4</v>
      </c>
    </row>
    <row r="71" spans="1:23" ht="19.95" customHeight="1" x14ac:dyDescent="0.3">
      <c r="A71" s="7">
        <v>46192</v>
      </c>
      <c r="B71" s="1">
        <f>SUMIFS(Ledger!$J$7:$J$1006,Ledger!$C$7:$C$1006,Portfolio!$C$5,Ledger!$E$7:$E$1006,History!B$6,Ledger!$B$7:$B$1006,"&lt;="&amp;$A71)</f>
        <v>100</v>
      </c>
      <c r="C71" s="1">
        <f>SUMIFS(Ledger!$J$7:$J$1006,Ledger!$C$7:$C$1006,Portfolio!$C$5,Ledger!$E$7:$E$1006,History!C$6,Ledger!$B$7:$B$1006,"&lt;="&amp;$A71)</f>
        <v>100</v>
      </c>
      <c r="D71" s="1">
        <f>SUMIFS(Ledger!$J$7:$J$1006,Ledger!$C$7:$C$1006,Portfolio!$C$5,Ledger!$E$7:$E$1006,History!D$6,Ledger!$B$7:$B$1006,"&lt;="&amp;$A71)</f>
        <v>70</v>
      </c>
      <c r="E71" s="1">
        <f>SUMIFS(Ledger!$J$7:$J$1006,Ledger!$C$7:$C$1006,Portfolio!$C$5,Ledger!$E$7:$E$1006,History!E$6,Ledger!$B$7:$B$1006,"&lt;="&amp;$A71)</f>
        <v>130</v>
      </c>
      <c r="F71" s="1">
        <f>SUMIFS(Ledger!$J$7:$J$1006,Ledger!$C$7:$C$1006,Portfolio!$C$5,Ledger!$E$7:$E$1006,History!F$6,Ledger!$B$7:$B$1006,"&lt;="&amp;$A71)</f>
        <v>480</v>
      </c>
      <c r="G71" s="1">
        <f>SUMIFS(Ledger!$J$7:$J$1006,Ledger!$C$7:$C$1006,Portfolio!$C$5,Ledger!$E$7:$E$1006,History!G$6,Ledger!$B$7:$B$1006,"&lt;="&amp;$A71)</f>
        <v>600</v>
      </c>
      <c r="H71" s="8">
        <f>SUMIFS(Ledger!$K$7:$K$1006,Ledger!$C$7:$C$1006,Portfolio!$C$5,Ledger!$B$7:$B$1006,"&lt;="&amp;$A71)</f>
        <v>79138.649000000005</v>
      </c>
      <c r="I71" s="8">
        <f>IF(S71=6,SUMPRODUCT(B71:G71,History!B71:G71),NA())</f>
        <v>456820.87099999998</v>
      </c>
      <c r="J71" s="8">
        <f t="shared" ref="J71:J102" si="4">SUM(H71:I71)</f>
        <v>535959.52</v>
      </c>
      <c r="K71" s="8">
        <f>SUMIFS(Ledger!$L$7:$L$1006,Ledger!$C$7:$C$1006,Portfolio!$C$5,Ledger!$B$7:$B$1006,$A71)</f>
        <v>0</v>
      </c>
      <c r="L71" s="10">
        <f>IF(A71&lt;Holdings!$G$24,"",IF(A71=Holdings!$G$24,IF(K71&gt;0,J71/K71-1,NA()),IF(J70&gt;0,(J71-K71)/J70-1,NA())))</f>
        <v>5.6270339252306734E-3</v>
      </c>
      <c r="M71" s="11">
        <f>IF(A71&lt;Holdings!$G$24,"",IF(A71=Holdings!$G$24,100*(1+L71),M70*(1+L71)))</f>
        <v>97.292863772983949</v>
      </c>
      <c r="N71" s="11">
        <f>IF(A71&lt;Holdings!$G$24,"",IF(A71=Holdings!$G$24,MAX(100,M71),MAX(N70,M71)))</f>
        <v>101.59037800000002</v>
      </c>
      <c r="O71" s="10">
        <f>IF(A71&lt;Holdings!$G$24,"",M71/N71-1)</f>
        <v>-4.2302374610871718E-2</v>
      </c>
      <c r="P71" s="11">
        <f>IF(A71&lt;Holdings!$G$24,"",IF(History!H71&gt;0,History!H71/INDEX(History!$H$7:$H$136,MATCH(Holdings!$G$24,History!$A$7:$A$136,0))*100,NA()))</f>
        <v>94.067238000000003</v>
      </c>
      <c r="Q71" s="10">
        <f>IF(A71&lt;=Holdings!$G$24,"",P71/P70-1)</f>
        <v>6.1998943975736243E-3</v>
      </c>
      <c r="R71" s="8">
        <f>IF(A71&gt;Portfolio!$J$5,0,-K71+IF(A71=Portfolio!$J$5,J71,0))</f>
        <v>0</v>
      </c>
      <c r="S71" s="1">
        <f>COUNTIFS(History!B71:G71,"&gt;0")</f>
        <v>6</v>
      </c>
      <c r="T71" s="1" t="str">
        <f t="shared" ref="T71:T102" si="5">TEXT(A71,"dd-mmm")</f>
        <v>19-Jun</v>
      </c>
      <c r="U71" s="10">
        <f>IF(AND(A71&lt;=Portfolio!$J$5,A71&gt;=Holdings!$G$24),O71,0)</f>
        <v>-4.2302374610871718E-2</v>
      </c>
      <c r="V71" s="12">
        <f>IF(AND(A71&gt;Holdings!$G$24,A71&lt;=Portfolio!$J$5),L71,"")</f>
        <v>5.6270339252306734E-3</v>
      </c>
      <c r="W71" s="12">
        <f>IF(AND(A71&gt;Holdings!$G$24,A71&lt;=Portfolio!$J$5),Q71,"")</f>
        <v>6.1998943975736243E-3</v>
      </c>
    </row>
    <row r="72" spans="1:23" ht="19.95" customHeight="1" x14ac:dyDescent="0.3">
      <c r="A72" s="7">
        <v>46195</v>
      </c>
      <c r="B72" s="1">
        <f>SUMIFS(Ledger!$J$7:$J$1006,Ledger!$C$7:$C$1006,Portfolio!$C$5,Ledger!$E$7:$E$1006,History!B$6,Ledger!$B$7:$B$1006,"&lt;="&amp;$A72)</f>
        <v>100</v>
      </c>
      <c r="C72" s="1">
        <f>SUMIFS(Ledger!$J$7:$J$1006,Ledger!$C$7:$C$1006,Portfolio!$C$5,Ledger!$E$7:$E$1006,History!C$6,Ledger!$B$7:$B$1006,"&lt;="&amp;$A72)</f>
        <v>200</v>
      </c>
      <c r="D72" s="1">
        <f>SUMIFS(Ledger!$J$7:$J$1006,Ledger!$C$7:$C$1006,Portfolio!$C$5,Ledger!$E$7:$E$1006,History!D$6,Ledger!$B$7:$B$1006,"&lt;="&amp;$A72)</f>
        <v>70</v>
      </c>
      <c r="E72" s="1">
        <f>SUMIFS(Ledger!$J$7:$J$1006,Ledger!$C$7:$C$1006,Portfolio!$C$5,Ledger!$E$7:$E$1006,History!E$6,Ledger!$B$7:$B$1006,"&lt;="&amp;$A72)</f>
        <v>130</v>
      </c>
      <c r="F72" s="1">
        <f>SUMIFS(Ledger!$J$7:$J$1006,Ledger!$C$7:$C$1006,Portfolio!$C$5,Ledger!$E$7:$E$1006,History!F$6,Ledger!$B$7:$B$1006,"&lt;="&amp;$A72)</f>
        <v>480</v>
      </c>
      <c r="G72" s="1">
        <f>SUMIFS(Ledger!$J$7:$J$1006,Ledger!$C$7:$C$1006,Portfolio!$C$5,Ledger!$E$7:$E$1006,History!G$6,Ledger!$B$7:$B$1006,"&lt;="&amp;$A72)</f>
        <v>600</v>
      </c>
      <c r="H72" s="8">
        <f>SUMIFS(Ledger!$K$7:$K$1006,Ledger!$C$7:$C$1006,Portfolio!$C$5,Ledger!$B$7:$B$1006,"&lt;="&amp;$A72)</f>
        <v>79138.649000000005</v>
      </c>
      <c r="I72" s="8">
        <f>IF(S72=6,SUMPRODUCT(B72:G72,History!B72:G72),NA())</f>
        <v>462242.62299999996</v>
      </c>
      <c r="J72" s="8">
        <f t="shared" si="4"/>
        <v>541381.272</v>
      </c>
      <c r="K72" s="8">
        <f>SUMIFS(Ledger!$L$7:$L$1006,Ledger!$C$7:$C$1006,Portfolio!$C$5,Ledger!$B$7:$B$1006,$A72)</f>
        <v>0</v>
      </c>
      <c r="L72" s="10">
        <f>IF(A72&lt;Holdings!$G$24,"",IF(A72=Holdings!$G$24,IF(K72&gt;0,J72/K72-1,NA()),IF(J71&gt;0,(J72-K72)/J71-1,NA())))</f>
        <v>1.0115972937657647E-2</v>
      </c>
      <c r="M72" s="11">
        <f>IF(A72&lt;Holdings!$G$24,"",IF(A72=Holdings!$G$24,100*(1+L72),M71*(1+L72)))</f>
        <v>98.27707574993866</v>
      </c>
      <c r="N72" s="11">
        <f>IF(A72&lt;Holdings!$G$24,"",IF(A72=Holdings!$G$24,MAX(100,M72),MAX(N71,M72)))</f>
        <v>101.59037800000002</v>
      </c>
      <c r="O72" s="10">
        <f>IF(A72&lt;Holdings!$G$24,"",M72/N72-1)</f>
        <v>-3.2614331349976378E-2</v>
      </c>
      <c r="P72" s="11">
        <f>IF(A72&lt;Holdings!$G$24,"",IF(History!H72&gt;0,History!H72/INDEX(History!$H$7:$H$136,MATCH(Holdings!$G$24,History!$A$7:$A$136,0))*100,NA()))</f>
        <v>95.355548099999993</v>
      </c>
      <c r="Q72" s="10">
        <f>IF(A72&lt;=Holdings!$G$24,"",P72/P71-1)</f>
        <v>1.3695630140644566E-2</v>
      </c>
      <c r="R72" s="8">
        <f>IF(A72&gt;Portfolio!$J$5,0,-K72+IF(A72=Portfolio!$J$5,J72,0))</f>
        <v>0</v>
      </c>
      <c r="S72" s="1">
        <f>COUNTIFS(History!B72:G72,"&gt;0")</f>
        <v>6</v>
      </c>
      <c r="T72" s="1" t="str">
        <f t="shared" si="5"/>
        <v>22-Jun</v>
      </c>
      <c r="U72" s="10">
        <f>IF(AND(A72&lt;=Portfolio!$J$5,A72&gt;=Holdings!$G$24),O72,0)</f>
        <v>-3.2614331349976378E-2</v>
      </c>
      <c r="V72" s="12">
        <f>IF(AND(A72&gt;Holdings!$G$24,A72&lt;=Portfolio!$J$5),L72,"")</f>
        <v>1.0115972937657647E-2</v>
      </c>
      <c r="W72" s="12">
        <f>IF(AND(A72&gt;Holdings!$G$24,A72&lt;=Portfolio!$J$5),Q72,"")</f>
        <v>1.3695630140644566E-2</v>
      </c>
    </row>
    <row r="73" spans="1:23" ht="19.95" customHeight="1" x14ac:dyDescent="0.3">
      <c r="A73" s="7">
        <v>46196</v>
      </c>
      <c r="B73" s="1">
        <f>SUMIFS(Ledger!$J$7:$J$1006,Ledger!$C$7:$C$1006,Portfolio!$C$5,Ledger!$E$7:$E$1006,History!B$6,Ledger!$B$7:$B$1006,"&lt;="&amp;$A73)</f>
        <v>100</v>
      </c>
      <c r="C73" s="1">
        <f>SUMIFS(Ledger!$J$7:$J$1006,Ledger!$C$7:$C$1006,Portfolio!$C$5,Ledger!$E$7:$E$1006,History!C$6,Ledger!$B$7:$B$1006,"&lt;="&amp;$A73)</f>
        <v>200</v>
      </c>
      <c r="D73" s="1">
        <f>SUMIFS(Ledger!$J$7:$J$1006,Ledger!$C$7:$C$1006,Portfolio!$C$5,Ledger!$E$7:$E$1006,History!D$6,Ledger!$B$7:$B$1006,"&lt;="&amp;$A73)</f>
        <v>70</v>
      </c>
      <c r="E73" s="1">
        <f>SUMIFS(Ledger!$J$7:$J$1006,Ledger!$C$7:$C$1006,Portfolio!$C$5,Ledger!$E$7:$E$1006,History!E$6,Ledger!$B$7:$B$1006,"&lt;="&amp;$A73)</f>
        <v>130</v>
      </c>
      <c r="F73" s="1">
        <f>SUMIFS(Ledger!$J$7:$J$1006,Ledger!$C$7:$C$1006,Portfolio!$C$5,Ledger!$E$7:$E$1006,History!F$6,Ledger!$B$7:$B$1006,"&lt;="&amp;$A73)</f>
        <v>480</v>
      </c>
      <c r="G73" s="1">
        <f>SUMIFS(Ledger!$J$7:$J$1006,Ledger!$C$7:$C$1006,Portfolio!$C$5,Ledger!$E$7:$E$1006,History!G$6,Ledger!$B$7:$B$1006,"&lt;="&amp;$A73)</f>
        <v>600</v>
      </c>
      <c r="H73" s="8">
        <f>SUMIFS(Ledger!$K$7:$K$1006,Ledger!$C$7:$C$1006,Portfolio!$C$5,Ledger!$B$7:$B$1006,"&lt;="&amp;$A73)</f>
        <v>79138.649000000005</v>
      </c>
      <c r="I73" s="8">
        <f>IF(S73=6,SUMPRODUCT(B73:G73,History!B73:G73),NA())</f>
        <v>463871.83500000002</v>
      </c>
      <c r="J73" s="8">
        <f t="shared" si="4"/>
        <v>543010.48400000005</v>
      </c>
      <c r="K73" s="8">
        <f>SUMIFS(Ledger!$L$7:$L$1006,Ledger!$C$7:$C$1006,Portfolio!$C$5,Ledger!$B$7:$B$1006,$A73)</f>
        <v>0</v>
      </c>
      <c r="L73" s="10">
        <f>IF(A73&lt;Holdings!$G$24,"",IF(A73=Holdings!$G$24,IF(K73&gt;0,J73/K73-1,NA()),IF(J72&gt;0,(J73-K73)/J72-1,NA())))</f>
        <v>3.0093615798369999E-3</v>
      </c>
      <c r="M73" s="11">
        <f>IF(A73&lt;Holdings!$G$24,"",IF(A73=Holdings!$G$24,100*(1+L73),M72*(1+L73)))</f>
        <v>98.572827005879262</v>
      </c>
      <c r="N73" s="11">
        <f>IF(A73&lt;Holdings!$G$24,"",IF(A73=Holdings!$G$24,MAX(100,M73),MAX(N72,M73)))</f>
        <v>101.59037800000002</v>
      </c>
      <c r="O73" s="10">
        <f>IF(A73&lt;Holdings!$G$24,"",M73/N73-1)</f>
        <v>-2.9703118085856017E-2</v>
      </c>
      <c r="P73" s="11">
        <f>IF(A73&lt;Holdings!$G$24,"",IF(History!H73&gt;0,History!H73/INDEX(History!$H$7:$H$136,MATCH(Holdings!$G$24,History!$A$7:$A$136,0))*100,NA()))</f>
        <v>95.903173100000004</v>
      </c>
      <c r="Q73" s="10">
        <f>IF(A73&lt;=Holdings!$G$24,"",P73/P72-1)</f>
        <v>5.7429799409858262E-3</v>
      </c>
      <c r="R73" s="8">
        <f>IF(A73&gt;Portfolio!$J$5,0,-K73+IF(A73=Portfolio!$J$5,J73,0))</f>
        <v>0</v>
      </c>
      <c r="S73" s="1">
        <f>COUNTIFS(History!B73:G73,"&gt;0")</f>
        <v>6</v>
      </c>
      <c r="T73" s="1" t="str">
        <f t="shared" si="5"/>
        <v>23-Jun</v>
      </c>
      <c r="U73" s="10">
        <f>IF(AND(A73&lt;=Portfolio!$J$5,A73&gt;=Holdings!$G$24),O73,0)</f>
        <v>-2.9703118085856017E-2</v>
      </c>
      <c r="V73" s="12">
        <f>IF(AND(A73&gt;Holdings!$G$24,A73&lt;=Portfolio!$J$5),L73,"")</f>
        <v>3.0093615798369999E-3</v>
      </c>
      <c r="W73" s="12">
        <f>IF(AND(A73&gt;Holdings!$G$24,A73&lt;=Portfolio!$J$5),Q73,"")</f>
        <v>5.7429799409858262E-3</v>
      </c>
    </row>
    <row r="74" spans="1:23" ht="19.95" customHeight="1" x14ac:dyDescent="0.3">
      <c r="A74" s="7">
        <v>46197</v>
      </c>
      <c r="B74" s="1">
        <f>SUMIFS(Ledger!$J$7:$J$1006,Ledger!$C$7:$C$1006,Portfolio!$C$5,Ledger!$E$7:$E$1006,History!B$6,Ledger!$B$7:$B$1006,"&lt;="&amp;$A74)</f>
        <v>100</v>
      </c>
      <c r="C74" s="1">
        <f>SUMIFS(Ledger!$J$7:$J$1006,Ledger!$C$7:$C$1006,Portfolio!$C$5,Ledger!$E$7:$E$1006,History!C$6,Ledger!$B$7:$B$1006,"&lt;="&amp;$A74)</f>
        <v>200</v>
      </c>
      <c r="D74" s="1">
        <f>SUMIFS(Ledger!$J$7:$J$1006,Ledger!$C$7:$C$1006,Portfolio!$C$5,Ledger!$E$7:$E$1006,History!D$6,Ledger!$B$7:$B$1006,"&lt;="&amp;$A74)</f>
        <v>70</v>
      </c>
      <c r="E74" s="1">
        <f>SUMIFS(Ledger!$J$7:$J$1006,Ledger!$C$7:$C$1006,Portfolio!$C$5,Ledger!$E$7:$E$1006,History!E$6,Ledger!$B$7:$B$1006,"&lt;="&amp;$A74)</f>
        <v>130</v>
      </c>
      <c r="F74" s="1">
        <f>SUMIFS(Ledger!$J$7:$J$1006,Ledger!$C$7:$C$1006,Portfolio!$C$5,Ledger!$E$7:$E$1006,History!F$6,Ledger!$B$7:$B$1006,"&lt;="&amp;$A74)</f>
        <v>480</v>
      </c>
      <c r="G74" s="1">
        <f>SUMIFS(Ledger!$J$7:$J$1006,Ledger!$C$7:$C$1006,Portfolio!$C$5,Ledger!$E$7:$E$1006,History!G$6,Ledger!$B$7:$B$1006,"&lt;="&amp;$A74)</f>
        <v>600</v>
      </c>
      <c r="H74" s="8">
        <f>SUMIFS(Ledger!$K$7:$K$1006,Ledger!$C$7:$C$1006,Portfolio!$C$5,Ledger!$B$7:$B$1006,"&lt;="&amp;$A74)</f>
        <v>79138.649000000005</v>
      </c>
      <c r="I74" s="8">
        <f>IF(S74=6,SUMPRODUCT(B74:G74,History!B74:G74),NA())</f>
        <v>462296.52900000004</v>
      </c>
      <c r="J74" s="8">
        <f t="shared" si="4"/>
        <v>541435.17800000007</v>
      </c>
      <c r="K74" s="8">
        <f>SUMIFS(Ledger!$L$7:$L$1006,Ledger!$C$7:$C$1006,Portfolio!$C$5,Ledger!$B$7:$B$1006,$A74)</f>
        <v>0</v>
      </c>
      <c r="L74" s="10">
        <f>IF(A74&lt;Holdings!$G$24,"",IF(A74=Holdings!$G$24,IF(K74&gt;0,J74/K74-1,NA()),IF(J73&gt;0,(J74-K74)/J73-1,NA())))</f>
        <v>-2.9010600097363337E-3</v>
      </c>
      <c r="M74" s="11">
        <f>IF(A74&lt;Holdings!$G$24,"",IF(A74=Holdings!$G$24,100*(1+L74),M73*(1+L74)))</f>
        <v>98.286861319405844</v>
      </c>
      <c r="N74" s="11">
        <f>IF(A74&lt;Holdings!$G$24,"",IF(A74=Holdings!$G$24,MAX(100,M74),MAX(N73,M74)))</f>
        <v>101.59037800000002</v>
      </c>
      <c r="O74" s="10">
        <f>IF(A74&lt;Holdings!$G$24,"",M74/N74-1)</f>
        <v>-3.2518007567549079E-2</v>
      </c>
      <c r="P74" s="11">
        <f>IF(A74&lt;Holdings!$G$24,"",IF(History!H74&gt;0,History!H74/INDEX(History!$H$7:$H$136,MATCH(Holdings!$G$24,History!$A$7:$A$136,0))*100,NA()))</f>
        <v>95.629538499999995</v>
      </c>
      <c r="Q74" s="10">
        <f>IF(A74&lt;=Holdings!$G$24,"",P74/P73-1)</f>
        <v>-2.8532382313845028E-3</v>
      </c>
      <c r="R74" s="8">
        <f>IF(A74&gt;Portfolio!$J$5,0,-K74+IF(A74=Portfolio!$J$5,J74,0))</f>
        <v>0</v>
      </c>
      <c r="S74" s="1">
        <f>COUNTIFS(History!B74:G74,"&gt;0")</f>
        <v>6</v>
      </c>
      <c r="T74" s="1" t="str">
        <f t="shared" si="5"/>
        <v>24-Jun</v>
      </c>
      <c r="U74" s="10">
        <f>IF(AND(A74&lt;=Portfolio!$J$5,A74&gt;=Holdings!$G$24),O74,0)</f>
        <v>-3.2518007567549079E-2</v>
      </c>
      <c r="V74" s="12">
        <f>IF(AND(A74&gt;Holdings!$G$24,A74&lt;=Portfolio!$J$5),L74,"")</f>
        <v>-2.9010600097363337E-3</v>
      </c>
      <c r="W74" s="12">
        <f>IF(AND(A74&gt;Holdings!$G$24,A74&lt;=Portfolio!$J$5),Q74,"")</f>
        <v>-2.8532382313845028E-3</v>
      </c>
    </row>
    <row r="75" spans="1:23" ht="19.95" customHeight="1" x14ac:dyDescent="0.3">
      <c r="A75" s="7">
        <v>46198</v>
      </c>
      <c r="B75" s="1">
        <f>SUMIFS(Ledger!$J$7:$J$1006,Ledger!$C$7:$C$1006,Portfolio!$C$5,Ledger!$E$7:$E$1006,History!B$6,Ledger!$B$7:$B$1006,"&lt;="&amp;$A75)</f>
        <v>100</v>
      </c>
      <c r="C75" s="1">
        <f>SUMIFS(Ledger!$J$7:$J$1006,Ledger!$C$7:$C$1006,Portfolio!$C$5,Ledger!$E$7:$E$1006,History!C$6,Ledger!$B$7:$B$1006,"&lt;="&amp;$A75)</f>
        <v>200</v>
      </c>
      <c r="D75" s="1">
        <f>SUMIFS(Ledger!$J$7:$J$1006,Ledger!$C$7:$C$1006,Portfolio!$C$5,Ledger!$E$7:$E$1006,History!D$6,Ledger!$B$7:$B$1006,"&lt;="&amp;$A75)</f>
        <v>70</v>
      </c>
      <c r="E75" s="1">
        <f>SUMIFS(Ledger!$J$7:$J$1006,Ledger!$C$7:$C$1006,Portfolio!$C$5,Ledger!$E$7:$E$1006,History!E$6,Ledger!$B$7:$B$1006,"&lt;="&amp;$A75)</f>
        <v>130</v>
      </c>
      <c r="F75" s="1">
        <f>SUMIFS(Ledger!$J$7:$J$1006,Ledger!$C$7:$C$1006,Portfolio!$C$5,Ledger!$E$7:$E$1006,History!F$6,Ledger!$B$7:$B$1006,"&lt;="&amp;$A75)</f>
        <v>480</v>
      </c>
      <c r="G75" s="1">
        <f>SUMIFS(Ledger!$J$7:$J$1006,Ledger!$C$7:$C$1006,Portfolio!$C$5,Ledger!$E$7:$E$1006,History!G$6,Ledger!$B$7:$B$1006,"&lt;="&amp;$A75)</f>
        <v>600</v>
      </c>
      <c r="H75" s="8">
        <f>SUMIFS(Ledger!$K$7:$K$1006,Ledger!$C$7:$C$1006,Portfolio!$C$5,Ledger!$B$7:$B$1006,"&lt;="&amp;$A75)</f>
        <v>79138.649000000005</v>
      </c>
      <c r="I75" s="8">
        <f>IF(S75=6,SUMPRODUCT(B75:G75,History!B75:G75),NA())</f>
        <v>463228.47100000002</v>
      </c>
      <c r="J75" s="8">
        <f t="shared" si="4"/>
        <v>542367.12</v>
      </c>
      <c r="K75" s="8">
        <f>SUMIFS(Ledger!$L$7:$L$1006,Ledger!$C$7:$C$1006,Portfolio!$C$5,Ledger!$B$7:$B$1006,$A75)</f>
        <v>0</v>
      </c>
      <c r="L75" s="10">
        <f>IF(A75&lt;Holdings!$G$24,"",IF(A75=Holdings!$G$24,IF(K75&gt;0,J75/K75-1,NA()),IF(J74&gt;0,(J75-K75)/J74-1,NA())))</f>
        <v>1.7212439048426287E-3</v>
      </c>
      <c r="M75" s="11">
        <f>IF(A75&lt;Holdings!$G$24,"",IF(A75=Holdings!$G$24,100*(1+L75),M74*(1+L75)))</f>
        <v>98.456036980377988</v>
      </c>
      <c r="N75" s="11">
        <f>IF(A75&lt;Holdings!$G$24,"",IF(A75=Holdings!$G$24,MAX(100,M75),MAX(N74,M75)))</f>
        <v>101.59037800000002</v>
      </c>
      <c r="O75" s="10">
        <f>IF(A75&lt;Holdings!$G$24,"",M75/N75-1)</f>
        <v>-3.0852735085029726E-2</v>
      </c>
      <c r="P75" s="11">
        <f>IF(A75&lt;Holdings!$G$24,"",IF(History!H75&gt;0,History!H75/INDEX(History!$H$7:$H$136,MATCH(Holdings!$G$24,History!$A$7:$A$136,0))*100,NA()))</f>
        <v>96.414383200000003</v>
      </c>
      <c r="Q75" s="10">
        <f>IF(A75&lt;=Holdings!$G$24,"",P75/P74-1)</f>
        <v>8.2071367519984673E-3</v>
      </c>
      <c r="R75" s="8">
        <f>IF(A75&gt;Portfolio!$J$5,0,-K75+IF(A75=Portfolio!$J$5,J75,0))</f>
        <v>0</v>
      </c>
      <c r="S75" s="1">
        <f>COUNTIFS(History!B75:G75,"&gt;0")</f>
        <v>6</v>
      </c>
      <c r="T75" s="1" t="str">
        <f t="shared" si="5"/>
        <v>25-Jun</v>
      </c>
      <c r="U75" s="10">
        <f>IF(AND(A75&lt;=Portfolio!$J$5,A75&gt;=Holdings!$G$24),O75,0)</f>
        <v>-3.0852735085029726E-2</v>
      </c>
      <c r="V75" s="12">
        <f>IF(AND(A75&gt;Holdings!$G$24,A75&lt;=Portfolio!$J$5),L75,"")</f>
        <v>1.7212439048426287E-3</v>
      </c>
      <c r="W75" s="12">
        <f>IF(AND(A75&gt;Holdings!$G$24,A75&lt;=Portfolio!$J$5),Q75,"")</f>
        <v>8.2071367519984673E-3</v>
      </c>
    </row>
    <row r="76" spans="1:23" ht="19.95" customHeight="1" x14ac:dyDescent="0.3">
      <c r="A76" s="7">
        <v>46199</v>
      </c>
      <c r="B76" s="1">
        <f>SUMIFS(Ledger!$J$7:$J$1006,Ledger!$C$7:$C$1006,Portfolio!$C$5,Ledger!$E$7:$E$1006,History!B$6,Ledger!$B$7:$B$1006,"&lt;="&amp;$A76)</f>
        <v>100</v>
      </c>
      <c r="C76" s="1">
        <f>SUMIFS(Ledger!$J$7:$J$1006,Ledger!$C$7:$C$1006,Portfolio!$C$5,Ledger!$E$7:$E$1006,History!C$6,Ledger!$B$7:$B$1006,"&lt;="&amp;$A76)</f>
        <v>200</v>
      </c>
      <c r="D76" s="1">
        <f>SUMIFS(Ledger!$J$7:$J$1006,Ledger!$C$7:$C$1006,Portfolio!$C$5,Ledger!$E$7:$E$1006,History!D$6,Ledger!$B$7:$B$1006,"&lt;="&amp;$A76)</f>
        <v>70</v>
      </c>
      <c r="E76" s="1">
        <f>SUMIFS(Ledger!$J$7:$J$1006,Ledger!$C$7:$C$1006,Portfolio!$C$5,Ledger!$E$7:$E$1006,History!E$6,Ledger!$B$7:$B$1006,"&lt;="&amp;$A76)</f>
        <v>130</v>
      </c>
      <c r="F76" s="1">
        <f>SUMIFS(Ledger!$J$7:$J$1006,Ledger!$C$7:$C$1006,Portfolio!$C$5,Ledger!$E$7:$E$1006,History!F$6,Ledger!$B$7:$B$1006,"&lt;="&amp;$A76)</f>
        <v>480</v>
      </c>
      <c r="G76" s="1">
        <f>SUMIFS(Ledger!$J$7:$J$1006,Ledger!$C$7:$C$1006,Portfolio!$C$5,Ledger!$E$7:$E$1006,History!G$6,Ledger!$B$7:$B$1006,"&lt;="&amp;$A76)</f>
        <v>600</v>
      </c>
      <c r="H76" s="8">
        <f>SUMIFS(Ledger!$K$7:$K$1006,Ledger!$C$7:$C$1006,Portfolio!$C$5,Ledger!$B$7:$B$1006,"&lt;="&amp;$A76)</f>
        <v>79138.649000000005</v>
      </c>
      <c r="I76" s="8">
        <f>IF(S76=6,SUMPRODUCT(B76:G76,History!B76:G76),NA())</f>
        <v>467059.94899999996</v>
      </c>
      <c r="J76" s="8">
        <f t="shared" si="4"/>
        <v>546198.598</v>
      </c>
      <c r="K76" s="8">
        <f>SUMIFS(Ledger!$L$7:$L$1006,Ledger!$C$7:$C$1006,Portfolio!$C$5,Ledger!$B$7:$B$1006,$A76)</f>
        <v>0</v>
      </c>
      <c r="L76" s="10">
        <f>IF(A76&lt;Holdings!$G$24,"",IF(A76=Holdings!$G$24,IF(K76&gt;0,J76/K76-1,NA()),IF(J75&gt;0,(J76-K76)/J75-1,NA())))</f>
        <v>7.0643626036916984E-3</v>
      </c>
      <c r="M76" s="11">
        <f>IF(A76&lt;Holdings!$G$24,"",IF(A76=Holdings!$G$24,100*(1+L76),M75*(1+L76)))</f>
        <v>99.15156612612985</v>
      </c>
      <c r="N76" s="11">
        <f>IF(A76&lt;Holdings!$G$24,"",IF(A76=Holdings!$G$24,MAX(100,M76),MAX(N75,M76)))</f>
        <v>101.59037800000002</v>
      </c>
      <c r="O76" s="10">
        <f>IF(A76&lt;Holdings!$G$24,"",M76/N76-1)</f>
        <v>-2.4006327389294313E-2</v>
      </c>
      <c r="P76" s="11">
        <f>IF(A76&lt;Holdings!$G$24,"",IF(History!H76&gt;0,History!H76/INDEX(History!$H$7:$H$136,MATCH(Holdings!$G$24,History!$A$7:$A$136,0))*100,NA()))</f>
        <v>97.057310399999992</v>
      </c>
      <c r="Q76" s="10">
        <f>IF(A76&lt;=Holdings!$G$24,"",P76/P75-1)</f>
        <v>6.6683743510167481E-3</v>
      </c>
      <c r="R76" s="8">
        <f>IF(A76&gt;Portfolio!$J$5,0,-K76+IF(A76=Portfolio!$J$5,J76,0))</f>
        <v>0</v>
      </c>
      <c r="S76" s="1">
        <f>COUNTIFS(History!B76:G76,"&gt;0")</f>
        <v>6</v>
      </c>
      <c r="T76" s="1" t="str">
        <f t="shared" si="5"/>
        <v>26-Jun</v>
      </c>
      <c r="U76" s="10">
        <f>IF(AND(A76&lt;=Portfolio!$J$5,A76&gt;=Holdings!$G$24),O76,0)</f>
        <v>-2.4006327389294313E-2</v>
      </c>
      <c r="V76" s="12">
        <f>IF(AND(A76&gt;Holdings!$G$24,A76&lt;=Portfolio!$J$5),L76,"")</f>
        <v>7.0643626036916984E-3</v>
      </c>
      <c r="W76" s="12">
        <f>IF(AND(A76&gt;Holdings!$G$24,A76&lt;=Portfolio!$J$5),Q76,"")</f>
        <v>6.6683743510167481E-3</v>
      </c>
    </row>
    <row r="77" spans="1:23" ht="19.95" customHeight="1" x14ac:dyDescent="0.3">
      <c r="A77" s="7">
        <v>46202</v>
      </c>
      <c r="B77" s="1">
        <f>SUMIFS(Ledger!$J$7:$J$1006,Ledger!$C$7:$C$1006,Portfolio!$C$5,Ledger!$E$7:$E$1006,History!B$6,Ledger!$B$7:$B$1006,"&lt;="&amp;$A77)</f>
        <v>100</v>
      </c>
      <c r="C77" s="1">
        <f>SUMIFS(Ledger!$J$7:$J$1006,Ledger!$C$7:$C$1006,Portfolio!$C$5,Ledger!$E$7:$E$1006,History!C$6,Ledger!$B$7:$B$1006,"&lt;="&amp;$A77)</f>
        <v>200</v>
      </c>
      <c r="D77" s="1">
        <f>SUMIFS(Ledger!$J$7:$J$1006,Ledger!$C$7:$C$1006,Portfolio!$C$5,Ledger!$E$7:$E$1006,History!D$6,Ledger!$B$7:$B$1006,"&lt;="&amp;$A77)</f>
        <v>70</v>
      </c>
      <c r="E77" s="1">
        <f>SUMIFS(Ledger!$J$7:$J$1006,Ledger!$C$7:$C$1006,Portfolio!$C$5,Ledger!$E$7:$E$1006,History!E$6,Ledger!$B$7:$B$1006,"&lt;="&amp;$A77)</f>
        <v>130</v>
      </c>
      <c r="F77" s="1">
        <f>SUMIFS(Ledger!$J$7:$J$1006,Ledger!$C$7:$C$1006,Portfolio!$C$5,Ledger!$E$7:$E$1006,History!F$6,Ledger!$B$7:$B$1006,"&lt;="&amp;$A77)</f>
        <v>480</v>
      </c>
      <c r="G77" s="1">
        <f>SUMIFS(Ledger!$J$7:$J$1006,Ledger!$C$7:$C$1006,Portfolio!$C$5,Ledger!$E$7:$E$1006,History!G$6,Ledger!$B$7:$B$1006,"&lt;="&amp;$A77)</f>
        <v>600</v>
      </c>
      <c r="H77" s="8">
        <f>SUMIFS(Ledger!$K$7:$K$1006,Ledger!$C$7:$C$1006,Portfolio!$C$5,Ledger!$B$7:$B$1006,"&lt;="&amp;$A77)</f>
        <v>79138.649000000005</v>
      </c>
      <c r="I77" s="8">
        <f>IF(S77=6,SUMPRODUCT(B77:G77,History!B77:G77),NA())</f>
        <v>468055.39500000002</v>
      </c>
      <c r="J77" s="8">
        <f t="shared" si="4"/>
        <v>547194.04399999999</v>
      </c>
      <c r="K77" s="8">
        <f>SUMIFS(Ledger!$L$7:$L$1006,Ledger!$C$7:$C$1006,Portfolio!$C$5,Ledger!$B$7:$B$1006,$A77)</f>
        <v>0</v>
      </c>
      <c r="L77" s="10">
        <f>IF(A77&lt;Holdings!$G$24,"",IF(A77=Holdings!$G$24,IF(K77&gt;0,J77/K77-1,NA()),IF(J76&gt;0,(J77-K77)/J76-1,NA())))</f>
        <v>1.8224982701255943E-3</v>
      </c>
      <c r="M77" s="11">
        <f>IF(A77&lt;Holdings!$G$24,"",IF(A77=Holdings!$G$24,100*(1+L77),M76*(1+L77)))</f>
        <v>99.332269683874969</v>
      </c>
      <c r="N77" s="11">
        <f>IF(A77&lt;Holdings!$G$24,"",IF(A77=Holdings!$G$24,MAX(100,M77),MAX(N76,M77)))</f>
        <v>101.59037800000002</v>
      </c>
      <c r="O77" s="10">
        <f>IF(A77&lt;Holdings!$G$24,"",M77/N77-1)</f>
        <v>-2.222758060930774E-2</v>
      </c>
      <c r="P77" s="11">
        <f>IF(A77&lt;Holdings!$G$24,"",IF(History!H77&gt;0,History!H77/INDEX(History!$H$7:$H$136,MATCH(Holdings!$G$24,History!$A$7:$A$136,0))*100,NA()))</f>
        <v>97.272532099999992</v>
      </c>
      <c r="Q77" s="10">
        <f>IF(A77&lt;=Holdings!$G$24,"",P77/P76-1)</f>
        <v>2.2174702669279789E-3</v>
      </c>
      <c r="R77" s="8">
        <f>IF(A77&gt;Portfolio!$J$5,0,-K77+IF(A77=Portfolio!$J$5,J77,0))</f>
        <v>0</v>
      </c>
      <c r="S77" s="1">
        <f>COUNTIFS(History!B77:G77,"&gt;0")</f>
        <v>6</v>
      </c>
      <c r="T77" s="1" t="str">
        <f t="shared" si="5"/>
        <v>29-Jun</v>
      </c>
      <c r="U77" s="10">
        <f>IF(AND(A77&lt;=Portfolio!$J$5,A77&gt;=Holdings!$G$24),O77,0)</f>
        <v>-2.222758060930774E-2</v>
      </c>
      <c r="V77" s="12">
        <f>IF(AND(A77&gt;Holdings!$G$24,A77&lt;=Portfolio!$J$5),L77,"")</f>
        <v>1.8224982701255943E-3</v>
      </c>
      <c r="W77" s="12">
        <f>IF(AND(A77&gt;Holdings!$G$24,A77&lt;=Portfolio!$J$5),Q77,"")</f>
        <v>2.2174702669279789E-3</v>
      </c>
    </row>
    <row r="78" spans="1:23" ht="19.95" customHeight="1" x14ac:dyDescent="0.3">
      <c r="A78" s="7">
        <v>46203</v>
      </c>
      <c r="B78" s="1">
        <f>SUMIFS(Ledger!$J$7:$J$1006,Ledger!$C$7:$C$1006,Portfolio!$C$5,Ledger!$E$7:$E$1006,History!B$6,Ledger!$B$7:$B$1006,"&lt;="&amp;$A78)</f>
        <v>100</v>
      </c>
      <c r="C78" s="1">
        <f>SUMIFS(Ledger!$J$7:$J$1006,Ledger!$C$7:$C$1006,Portfolio!$C$5,Ledger!$E$7:$E$1006,History!C$6,Ledger!$B$7:$B$1006,"&lt;="&amp;$A78)</f>
        <v>200</v>
      </c>
      <c r="D78" s="1">
        <f>SUMIFS(Ledger!$J$7:$J$1006,Ledger!$C$7:$C$1006,Portfolio!$C$5,Ledger!$E$7:$E$1006,History!D$6,Ledger!$B$7:$B$1006,"&lt;="&amp;$A78)</f>
        <v>70</v>
      </c>
      <c r="E78" s="1">
        <f>SUMIFS(Ledger!$J$7:$J$1006,Ledger!$C$7:$C$1006,Portfolio!$C$5,Ledger!$E$7:$E$1006,History!E$6,Ledger!$B$7:$B$1006,"&lt;="&amp;$A78)</f>
        <v>130</v>
      </c>
      <c r="F78" s="1">
        <f>SUMIFS(Ledger!$J$7:$J$1006,Ledger!$C$7:$C$1006,Portfolio!$C$5,Ledger!$E$7:$E$1006,History!F$6,Ledger!$B$7:$B$1006,"&lt;="&amp;$A78)</f>
        <v>480</v>
      </c>
      <c r="G78" s="1">
        <f>SUMIFS(Ledger!$J$7:$J$1006,Ledger!$C$7:$C$1006,Portfolio!$C$5,Ledger!$E$7:$E$1006,History!G$6,Ledger!$B$7:$B$1006,"&lt;="&amp;$A78)</f>
        <v>600</v>
      </c>
      <c r="H78" s="8">
        <f>SUMIFS(Ledger!$K$7:$K$1006,Ledger!$C$7:$C$1006,Portfolio!$C$5,Ledger!$B$7:$B$1006,"&lt;="&amp;$A78)</f>
        <v>79138.649000000005</v>
      </c>
      <c r="I78" s="8">
        <f>IF(S78=6,SUMPRODUCT(B78:G78,History!B78:G78),NA())</f>
        <v>470160.83499999996</v>
      </c>
      <c r="J78" s="8">
        <f t="shared" si="4"/>
        <v>549299.48399999994</v>
      </c>
      <c r="K78" s="8">
        <f>SUMIFS(Ledger!$L$7:$L$1006,Ledger!$C$7:$C$1006,Portfolio!$C$5,Ledger!$B$7:$B$1006,$A78)</f>
        <v>0</v>
      </c>
      <c r="L78" s="10">
        <f>IF(A78&lt;Holdings!$G$24,"",IF(A78=Holdings!$G$24,IF(K78&gt;0,J78/K78-1,NA()),IF(J77&gt;0,(J78-K78)/J77-1,NA())))</f>
        <v>3.8477026990446639E-3</v>
      </c>
      <c r="M78" s="11">
        <f>IF(A78&lt;Holdings!$G$24,"",IF(A78=Holdings!$G$24,100*(1+L78),M77*(1+L78)))</f>
        <v>99.714470726039849</v>
      </c>
      <c r="N78" s="11">
        <f>IF(A78&lt;Holdings!$G$24,"",IF(A78=Holdings!$G$24,MAX(100,M78),MAX(N77,M78)))</f>
        <v>101.59037800000002</v>
      </c>
      <c r="O78" s="10">
        <f>IF(A78&lt;Holdings!$G$24,"",M78/N78-1)</f>
        <v>-1.8465403032166705E-2</v>
      </c>
      <c r="P78" s="11">
        <f>IF(A78&lt;Holdings!$G$24,"",IF(History!H78&gt;0,History!H78/INDEX(History!$H$7:$H$136,MATCH(Holdings!$G$24,History!$A$7:$A$136,0))*100,NA()))</f>
        <v>97.164858900000013</v>
      </c>
      <c r="Q78" s="10">
        <f>IF(A78&lt;=Holdings!$G$24,"",P78/P77-1)</f>
        <v>-1.1069229686473392E-3</v>
      </c>
      <c r="R78" s="8">
        <f>IF(A78&gt;Portfolio!$J$5,0,-K78+IF(A78=Portfolio!$J$5,J78,0))</f>
        <v>0</v>
      </c>
      <c r="S78" s="1">
        <f>COUNTIFS(History!B78:G78,"&gt;0")</f>
        <v>6</v>
      </c>
      <c r="T78" s="1" t="str">
        <f t="shared" si="5"/>
        <v>30-Jun</v>
      </c>
      <c r="U78" s="10">
        <f>IF(AND(A78&lt;=Portfolio!$J$5,A78&gt;=Holdings!$G$24),O78,0)</f>
        <v>-1.8465403032166705E-2</v>
      </c>
      <c r="V78" s="12">
        <f>IF(AND(A78&gt;Holdings!$G$24,A78&lt;=Portfolio!$J$5),L78,"")</f>
        <v>3.8477026990446639E-3</v>
      </c>
      <c r="W78" s="12">
        <f>IF(AND(A78&gt;Holdings!$G$24,A78&lt;=Portfolio!$J$5),Q78,"")</f>
        <v>-1.1069229686473392E-3</v>
      </c>
    </row>
    <row r="79" spans="1:23" ht="19.95" customHeight="1" x14ac:dyDescent="0.3">
      <c r="A79" s="7">
        <v>46204</v>
      </c>
      <c r="B79" s="1">
        <f>SUMIFS(Ledger!$J$7:$J$1006,Ledger!$C$7:$C$1006,Portfolio!$C$5,Ledger!$E$7:$E$1006,History!B$6,Ledger!$B$7:$B$1006,"&lt;="&amp;$A79)</f>
        <v>100</v>
      </c>
      <c r="C79" s="1">
        <f>SUMIFS(Ledger!$J$7:$J$1006,Ledger!$C$7:$C$1006,Portfolio!$C$5,Ledger!$E$7:$E$1006,History!C$6,Ledger!$B$7:$B$1006,"&lt;="&amp;$A79)</f>
        <v>200</v>
      </c>
      <c r="D79" s="1">
        <f>SUMIFS(Ledger!$J$7:$J$1006,Ledger!$C$7:$C$1006,Portfolio!$C$5,Ledger!$E$7:$E$1006,History!D$6,Ledger!$B$7:$B$1006,"&lt;="&amp;$A79)</f>
        <v>70</v>
      </c>
      <c r="E79" s="1">
        <f>SUMIFS(Ledger!$J$7:$J$1006,Ledger!$C$7:$C$1006,Portfolio!$C$5,Ledger!$E$7:$E$1006,History!E$6,Ledger!$B$7:$B$1006,"&lt;="&amp;$A79)</f>
        <v>130</v>
      </c>
      <c r="F79" s="1">
        <f>SUMIFS(Ledger!$J$7:$J$1006,Ledger!$C$7:$C$1006,Portfolio!$C$5,Ledger!$E$7:$E$1006,History!F$6,Ledger!$B$7:$B$1006,"&lt;="&amp;$A79)</f>
        <v>480</v>
      </c>
      <c r="G79" s="1">
        <f>SUMIFS(Ledger!$J$7:$J$1006,Ledger!$C$7:$C$1006,Portfolio!$C$5,Ledger!$E$7:$E$1006,History!G$6,Ledger!$B$7:$B$1006,"&lt;="&amp;$A79)</f>
        <v>600</v>
      </c>
      <c r="H79" s="8">
        <f>SUMIFS(Ledger!$K$7:$K$1006,Ledger!$C$7:$C$1006,Portfolio!$C$5,Ledger!$B$7:$B$1006,"&lt;="&amp;$A79)</f>
        <v>79138.649000000005</v>
      </c>
      <c r="I79" s="8">
        <f>IF(S79=6,SUMPRODUCT(B79:G79,History!B79:G79),NA())</f>
        <v>475917.82500000001</v>
      </c>
      <c r="J79" s="8">
        <f t="shared" si="4"/>
        <v>555056.47400000005</v>
      </c>
      <c r="K79" s="8">
        <f>SUMIFS(Ledger!$L$7:$L$1006,Ledger!$C$7:$C$1006,Portfolio!$C$5,Ledger!$B$7:$B$1006,$A79)</f>
        <v>0</v>
      </c>
      <c r="L79" s="10">
        <f>IF(A79&lt;Holdings!$G$24,"",IF(A79=Holdings!$G$24,IF(K79&gt;0,J79/K79-1,NA()),IF(J78&gt;0,(J79-K79)/J78-1,NA())))</f>
        <v>1.0480603327856164E-2</v>
      </c>
      <c r="M79" s="11">
        <f>IF(A79&lt;Holdings!$G$24,"",IF(A79=Holdings!$G$24,100*(1+L79),M78*(1+L79)))</f>
        <v>100.7595385397666</v>
      </c>
      <c r="N79" s="11">
        <f>IF(A79&lt;Holdings!$G$24,"",IF(A79=Holdings!$G$24,MAX(100,M79),MAX(N78,M79)))</f>
        <v>101.59037800000002</v>
      </c>
      <c r="O79" s="10">
        <f>IF(A79&lt;Holdings!$G$24,"",M79/N79-1)</f>
        <v>-8.1783282687797332E-3</v>
      </c>
      <c r="P79" s="11">
        <f>IF(A79&lt;Holdings!$G$24,"",IF(History!H79&gt;0,History!H79/INDEX(History!$H$7:$H$136,MATCH(Holdings!$G$24,History!$A$7:$A$136,0))*100,NA()))</f>
        <v>98.02709320000001</v>
      </c>
      <c r="Q79" s="10">
        <f>IF(A79&lt;=Holdings!$G$24,"",P79/P78-1)</f>
        <v>8.8739314785337697E-3</v>
      </c>
      <c r="R79" s="8">
        <f>IF(A79&gt;Portfolio!$J$5,0,-K79+IF(A79=Portfolio!$J$5,J79,0))</f>
        <v>0</v>
      </c>
      <c r="S79" s="1">
        <f>COUNTIFS(History!B79:G79,"&gt;0")</f>
        <v>6</v>
      </c>
      <c r="T79" s="1" t="str">
        <f t="shared" si="5"/>
        <v>01-Jul</v>
      </c>
      <c r="U79" s="10">
        <f>IF(AND(A79&lt;=Portfolio!$J$5,A79&gt;=Holdings!$G$24),O79,0)</f>
        <v>-8.1783282687797332E-3</v>
      </c>
      <c r="V79" s="12">
        <f>IF(AND(A79&gt;Holdings!$G$24,A79&lt;=Portfolio!$J$5),L79,"")</f>
        <v>1.0480603327856164E-2</v>
      </c>
      <c r="W79" s="12">
        <f>IF(AND(A79&gt;Holdings!$G$24,A79&lt;=Portfolio!$J$5),Q79,"")</f>
        <v>8.8739314785337697E-3</v>
      </c>
    </row>
    <row r="80" spans="1:23" ht="19.95" customHeight="1" x14ac:dyDescent="0.3">
      <c r="A80" s="7">
        <v>46205</v>
      </c>
      <c r="B80" s="1">
        <f>SUMIFS(Ledger!$J$7:$J$1006,Ledger!$C$7:$C$1006,Portfolio!$C$5,Ledger!$E$7:$E$1006,History!B$6,Ledger!$B$7:$B$1006,"&lt;="&amp;$A80)</f>
        <v>100</v>
      </c>
      <c r="C80" s="1">
        <f>SUMIFS(Ledger!$J$7:$J$1006,Ledger!$C$7:$C$1006,Portfolio!$C$5,Ledger!$E$7:$E$1006,History!C$6,Ledger!$B$7:$B$1006,"&lt;="&amp;$A80)</f>
        <v>200</v>
      </c>
      <c r="D80" s="1">
        <f>SUMIFS(Ledger!$J$7:$J$1006,Ledger!$C$7:$C$1006,Portfolio!$C$5,Ledger!$E$7:$E$1006,History!D$6,Ledger!$B$7:$B$1006,"&lt;="&amp;$A80)</f>
        <v>70</v>
      </c>
      <c r="E80" s="1">
        <f>SUMIFS(Ledger!$J$7:$J$1006,Ledger!$C$7:$C$1006,Portfolio!$C$5,Ledger!$E$7:$E$1006,History!E$6,Ledger!$B$7:$B$1006,"&lt;="&amp;$A80)</f>
        <v>130</v>
      </c>
      <c r="F80" s="1">
        <f>SUMIFS(Ledger!$J$7:$J$1006,Ledger!$C$7:$C$1006,Portfolio!$C$5,Ledger!$E$7:$E$1006,History!F$6,Ledger!$B$7:$B$1006,"&lt;="&amp;$A80)</f>
        <v>480</v>
      </c>
      <c r="G80" s="1">
        <f>SUMIFS(Ledger!$J$7:$J$1006,Ledger!$C$7:$C$1006,Portfolio!$C$5,Ledger!$E$7:$E$1006,History!G$6,Ledger!$B$7:$B$1006,"&lt;="&amp;$A80)</f>
        <v>600</v>
      </c>
      <c r="H80" s="8">
        <f>SUMIFS(Ledger!$K$7:$K$1006,Ledger!$C$7:$C$1006,Portfolio!$C$5,Ledger!$B$7:$B$1006,"&lt;="&amp;$A80)</f>
        <v>79138.649000000005</v>
      </c>
      <c r="I80" s="8">
        <f>IF(S80=6,SUMPRODUCT(B80:G80,History!B80:G80),NA())</f>
        <v>470243.68299999996</v>
      </c>
      <c r="J80" s="8">
        <f t="shared" si="4"/>
        <v>549382.33199999994</v>
      </c>
      <c r="K80" s="8">
        <f>SUMIFS(Ledger!$L$7:$L$1006,Ledger!$C$7:$C$1006,Portfolio!$C$5,Ledger!$B$7:$B$1006,$A80)</f>
        <v>0</v>
      </c>
      <c r="L80" s="10">
        <f>IF(A80&lt;Holdings!$G$24,"",IF(A80=Holdings!$G$24,IF(K80&gt;0,J80/K80-1,NA()),IF(J79&gt;0,(J80-K80)/J79-1,NA())))</f>
        <v>-1.0222639075100903E-2</v>
      </c>
      <c r="M80" s="11">
        <f>IF(A80&lt;Holdings!$G$24,"",IF(A80=Holdings!$G$24,100*(1+L80),M79*(1+L80)))</f>
        <v>99.729510143900839</v>
      </c>
      <c r="N80" s="11">
        <f>IF(A80&lt;Holdings!$G$24,"",IF(A80=Holdings!$G$24,MAX(100,M80),MAX(N79,M80)))</f>
        <v>101.59037800000002</v>
      </c>
      <c r="O80" s="10">
        <f>IF(A80&lt;Holdings!$G$24,"",M80/N80-1)</f>
        <v>-1.8317363245751284E-2</v>
      </c>
      <c r="P80" s="11">
        <f>IF(A80&lt;Holdings!$G$24,"",IF(History!H80&gt;0,History!H80/INDEX(History!$H$7:$H$136,MATCH(Holdings!$G$24,History!$A$7:$A$136,0))*100,NA()))</f>
        <v>97.022306799999996</v>
      </c>
      <c r="Q80" s="10">
        <f>IF(A80&lt;=Holdings!$G$24,"",P80/P79-1)</f>
        <v>-1.0250088696907467E-2</v>
      </c>
      <c r="R80" s="8">
        <f>IF(A80&gt;Portfolio!$J$5,0,-K80+IF(A80=Portfolio!$J$5,J80,0))</f>
        <v>0</v>
      </c>
      <c r="S80" s="1">
        <f>COUNTIFS(History!B80:G80,"&gt;0")</f>
        <v>6</v>
      </c>
      <c r="T80" s="1" t="str">
        <f t="shared" si="5"/>
        <v>02-Jul</v>
      </c>
      <c r="U80" s="10">
        <f>IF(AND(A80&lt;=Portfolio!$J$5,A80&gt;=Holdings!$G$24),O80,0)</f>
        <v>-1.8317363245751284E-2</v>
      </c>
      <c r="V80" s="12">
        <f>IF(AND(A80&gt;Holdings!$G$24,A80&lt;=Portfolio!$J$5),L80,"")</f>
        <v>-1.0222639075100903E-2</v>
      </c>
      <c r="W80" s="12">
        <f>IF(AND(A80&gt;Holdings!$G$24,A80&lt;=Portfolio!$J$5),Q80,"")</f>
        <v>-1.0250088696907467E-2</v>
      </c>
    </row>
    <row r="81" spans="1:23" ht="19.95" customHeight="1" x14ac:dyDescent="0.3">
      <c r="A81" s="7">
        <v>46206</v>
      </c>
      <c r="B81" s="1">
        <f>SUMIFS(Ledger!$J$7:$J$1006,Ledger!$C$7:$C$1006,Portfolio!$C$5,Ledger!$E$7:$E$1006,History!B$6,Ledger!$B$7:$B$1006,"&lt;="&amp;$A81)</f>
        <v>100</v>
      </c>
      <c r="C81" s="1">
        <f>SUMIFS(Ledger!$J$7:$J$1006,Ledger!$C$7:$C$1006,Portfolio!$C$5,Ledger!$E$7:$E$1006,History!C$6,Ledger!$B$7:$B$1006,"&lt;="&amp;$A81)</f>
        <v>200</v>
      </c>
      <c r="D81" s="1">
        <f>SUMIFS(Ledger!$J$7:$J$1006,Ledger!$C$7:$C$1006,Portfolio!$C$5,Ledger!$E$7:$E$1006,History!D$6,Ledger!$B$7:$B$1006,"&lt;="&amp;$A81)</f>
        <v>70</v>
      </c>
      <c r="E81" s="1">
        <f>SUMIFS(Ledger!$J$7:$J$1006,Ledger!$C$7:$C$1006,Portfolio!$C$5,Ledger!$E$7:$E$1006,History!E$6,Ledger!$B$7:$B$1006,"&lt;="&amp;$A81)</f>
        <v>130</v>
      </c>
      <c r="F81" s="1">
        <f>SUMIFS(Ledger!$J$7:$J$1006,Ledger!$C$7:$C$1006,Portfolio!$C$5,Ledger!$E$7:$E$1006,History!F$6,Ledger!$B$7:$B$1006,"&lt;="&amp;$A81)</f>
        <v>480</v>
      </c>
      <c r="G81" s="1">
        <f>SUMIFS(Ledger!$J$7:$J$1006,Ledger!$C$7:$C$1006,Portfolio!$C$5,Ledger!$E$7:$E$1006,History!G$6,Ledger!$B$7:$B$1006,"&lt;="&amp;$A81)</f>
        <v>600</v>
      </c>
      <c r="H81" s="8">
        <f>SUMIFS(Ledger!$K$7:$K$1006,Ledger!$C$7:$C$1006,Portfolio!$C$5,Ledger!$B$7:$B$1006,"&lt;="&amp;$A81)</f>
        <v>79138.649000000005</v>
      </c>
      <c r="I81" s="8">
        <f>IF(S81=6,SUMPRODUCT(B81:G81,History!B81:G81),NA())</f>
        <v>470252.19099999999</v>
      </c>
      <c r="J81" s="8">
        <f t="shared" si="4"/>
        <v>549390.84</v>
      </c>
      <c r="K81" s="8">
        <f>SUMIFS(Ledger!$L$7:$L$1006,Ledger!$C$7:$C$1006,Portfolio!$C$5,Ledger!$B$7:$B$1006,$A81)</f>
        <v>0</v>
      </c>
      <c r="L81" s="10">
        <f>IF(A81&lt;Holdings!$G$24,"",IF(A81=Holdings!$G$24,IF(K81&gt;0,J81/K81-1,NA()),IF(J80&gt;0,(J81-K81)/J80-1,NA())))</f>
        <v>1.5486482736193352E-5</v>
      </c>
      <c r="M81" s="11">
        <f>IF(A81&lt;Holdings!$G$24,"",IF(A81=Holdings!$G$24,100*(1+L81),M80*(1+L81)))</f>
        <v>99.731054603237965</v>
      </c>
      <c r="N81" s="11">
        <f>IF(A81&lt;Holdings!$G$24,"",IF(A81=Holdings!$G$24,MAX(100,M81),MAX(N80,M81)))</f>
        <v>101.59037800000002</v>
      </c>
      <c r="O81" s="10">
        <f>IF(A81&lt;Holdings!$G$24,"",M81/N81-1)</f>
        <v>-1.8302160434544801E-2</v>
      </c>
      <c r="P81" s="11">
        <f>IF(A81&lt;Holdings!$G$24,"",IF(History!H81&gt;0,History!H81/INDEX(History!$H$7:$H$136,MATCH(Holdings!$G$24,History!$A$7:$A$136,0))*100,NA()))</f>
        <v>97.147943299999994</v>
      </c>
      <c r="Q81" s="10">
        <f>IF(A81&lt;=Holdings!$G$24,"",P81/P80-1)</f>
        <v>1.2949238597159685E-3</v>
      </c>
      <c r="R81" s="8">
        <f>IF(A81&gt;Portfolio!$J$5,0,-K81+IF(A81=Portfolio!$J$5,J81,0))</f>
        <v>0</v>
      </c>
      <c r="S81" s="1">
        <f>COUNTIFS(History!B81:G81,"&gt;0")</f>
        <v>6</v>
      </c>
      <c r="T81" s="1" t="str">
        <f t="shared" si="5"/>
        <v>03-Jul</v>
      </c>
      <c r="U81" s="10">
        <f>IF(AND(A81&lt;=Portfolio!$J$5,A81&gt;=Holdings!$G$24),O81,0)</f>
        <v>-1.8302160434544801E-2</v>
      </c>
      <c r="V81" s="12">
        <f>IF(AND(A81&gt;Holdings!$G$24,A81&lt;=Portfolio!$J$5),L81,"")</f>
        <v>1.5486482736193352E-5</v>
      </c>
      <c r="W81" s="12">
        <f>IF(AND(A81&gt;Holdings!$G$24,A81&lt;=Portfolio!$J$5),Q81,"")</f>
        <v>1.2949238597159685E-3</v>
      </c>
    </row>
    <row r="82" spans="1:23" ht="19.95" customHeight="1" x14ac:dyDescent="0.3">
      <c r="A82" s="7">
        <v>46209</v>
      </c>
      <c r="B82" s="1">
        <f>SUMIFS(Ledger!$J$7:$J$1006,Ledger!$C$7:$C$1006,Portfolio!$C$5,Ledger!$E$7:$E$1006,History!B$6,Ledger!$B$7:$B$1006,"&lt;="&amp;$A82)</f>
        <v>100</v>
      </c>
      <c r="C82" s="1">
        <f>SUMIFS(Ledger!$J$7:$J$1006,Ledger!$C$7:$C$1006,Portfolio!$C$5,Ledger!$E$7:$E$1006,History!C$6,Ledger!$B$7:$B$1006,"&lt;="&amp;$A82)</f>
        <v>200</v>
      </c>
      <c r="D82" s="1">
        <f>SUMIFS(Ledger!$J$7:$J$1006,Ledger!$C$7:$C$1006,Portfolio!$C$5,Ledger!$E$7:$E$1006,History!D$6,Ledger!$B$7:$B$1006,"&lt;="&amp;$A82)</f>
        <v>70</v>
      </c>
      <c r="E82" s="1">
        <f>SUMIFS(Ledger!$J$7:$J$1006,Ledger!$C$7:$C$1006,Portfolio!$C$5,Ledger!$E$7:$E$1006,History!E$6,Ledger!$B$7:$B$1006,"&lt;="&amp;$A82)</f>
        <v>130</v>
      </c>
      <c r="F82" s="1">
        <f>SUMIFS(Ledger!$J$7:$J$1006,Ledger!$C$7:$C$1006,Portfolio!$C$5,Ledger!$E$7:$E$1006,History!F$6,Ledger!$B$7:$B$1006,"&lt;="&amp;$A82)</f>
        <v>480</v>
      </c>
      <c r="G82" s="1">
        <f>SUMIFS(Ledger!$J$7:$J$1006,Ledger!$C$7:$C$1006,Portfolio!$C$5,Ledger!$E$7:$E$1006,History!G$6,Ledger!$B$7:$B$1006,"&lt;="&amp;$A82)</f>
        <v>600</v>
      </c>
      <c r="H82" s="8">
        <f>SUMIFS(Ledger!$K$7:$K$1006,Ledger!$C$7:$C$1006,Portfolio!$C$5,Ledger!$B$7:$B$1006,"&lt;="&amp;$A82)</f>
        <v>79138.649000000005</v>
      </c>
      <c r="I82" s="8">
        <f>IF(S82=6,SUMPRODUCT(B82:G82,History!B82:G82),NA())</f>
        <v>467554.01500000001</v>
      </c>
      <c r="J82" s="8">
        <f t="shared" si="4"/>
        <v>546692.66399999999</v>
      </c>
      <c r="K82" s="8">
        <f>SUMIFS(Ledger!$L$7:$L$1006,Ledger!$C$7:$C$1006,Portfolio!$C$5,Ledger!$B$7:$B$1006,$A82)</f>
        <v>0</v>
      </c>
      <c r="L82" s="10">
        <f>IF(A82&lt;Holdings!$G$24,"",IF(A82=Holdings!$G$24,IF(K82&gt;0,J82/K82-1,NA()),IF(J81&gt;0,(J82-K82)/J81-1,NA())))</f>
        <v>-4.9112140275218152E-3</v>
      </c>
      <c r="M82" s="11">
        <f>IF(A82&lt;Holdings!$G$24,"",IF(A82=Holdings!$G$24,100*(1+L82),M81*(1+L82)))</f>
        <v>99.241254048890994</v>
      </c>
      <c r="N82" s="11">
        <f>IF(A82&lt;Holdings!$G$24,"",IF(A82=Holdings!$G$24,MAX(100,M82),MAX(N81,M82)))</f>
        <v>101.59037800000002</v>
      </c>
      <c r="O82" s="10">
        <f>IF(A82&lt;Holdings!$G$24,"",M82/N82-1)</f>
        <v>-2.3123488635006573E-2</v>
      </c>
      <c r="P82" s="11">
        <f>IF(A82&lt;Holdings!$G$24,"",IF(History!H82&gt;0,History!H82/INDEX(History!$H$7:$H$136,MATCH(Holdings!$G$24,History!$A$7:$A$136,0))*100,NA()))</f>
        <v>97.17653279999999</v>
      </c>
      <c r="Q82" s="10">
        <f>IF(A82&lt;=Holdings!$G$24,"",P82/P81-1)</f>
        <v>2.9428826827260224E-4</v>
      </c>
      <c r="R82" s="8">
        <f>IF(A82&gt;Portfolio!$J$5,0,-K82+IF(A82=Portfolio!$J$5,J82,0))</f>
        <v>0</v>
      </c>
      <c r="S82" s="1">
        <f>COUNTIFS(History!B82:G82,"&gt;0")</f>
        <v>6</v>
      </c>
      <c r="T82" s="1" t="str">
        <f t="shared" si="5"/>
        <v>06-Jul</v>
      </c>
      <c r="U82" s="10">
        <f>IF(AND(A82&lt;=Portfolio!$J$5,A82&gt;=Holdings!$G$24),O82,0)</f>
        <v>-2.3123488635006573E-2</v>
      </c>
      <c r="V82" s="12">
        <f>IF(AND(A82&gt;Holdings!$G$24,A82&lt;=Portfolio!$J$5),L82,"")</f>
        <v>-4.9112140275218152E-3</v>
      </c>
      <c r="W82" s="12">
        <f>IF(AND(A82&gt;Holdings!$G$24,A82&lt;=Portfolio!$J$5),Q82,"")</f>
        <v>2.9428826827260224E-4</v>
      </c>
    </row>
    <row r="83" spans="1:23" ht="19.95" customHeight="1" x14ac:dyDescent="0.3">
      <c r="A83" s="7">
        <v>46210</v>
      </c>
      <c r="B83" s="1">
        <f>SUMIFS(Ledger!$J$7:$J$1006,Ledger!$C$7:$C$1006,Portfolio!$C$5,Ledger!$E$7:$E$1006,History!B$6,Ledger!$B$7:$B$1006,"&lt;="&amp;$A83)</f>
        <v>100</v>
      </c>
      <c r="C83" s="1">
        <f>SUMIFS(Ledger!$J$7:$J$1006,Ledger!$C$7:$C$1006,Portfolio!$C$5,Ledger!$E$7:$E$1006,History!C$6,Ledger!$B$7:$B$1006,"&lt;="&amp;$A83)</f>
        <v>200</v>
      </c>
      <c r="D83" s="1">
        <f>SUMIFS(Ledger!$J$7:$J$1006,Ledger!$C$7:$C$1006,Portfolio!$C$5,Ledger!$E$7:$E$1006,History!D$6,Ledger!$B$7:$B$1006,"&lt;="&amp;$A83)</f>
        <v>80</v>
      </c>
      <c r="E83" s="1">
        <f>SUMIFS(Ledger!$J$7:$J$1006,Ledger!$C$7:$C$1006,Portfolio!$C$5,Ledger!$E$7:$E$1006,History!E$6,Ledger!$B$7:$B$1006,"&lt;="&amp;$A83)</f>
        <v>130</v>
      </c>
      <c r="F83" s="1">
        <f>SUMIFS(Ledger!$J$7:$J$1006,Ledger!$C$7:$C$1006,Portfolio!$C$5,Ledger!$E$7:$E$1006,History!F$6,Ledger!$B$7:$B$1006,"&lt;="&amp;$A83)</f>
        <v>480</v>
      </c>
      <c r="G83" s="1">
        <f>SUMIFS(Ledger!$J$7:$J$1006,Ledger!$C$7:$C$1006,Portfolio!$C$5,Ledger!$E$7:$E$1006,History!G$6,Ledger!$B$7:$B$1006,"&lt;="&amp;$A83)</f>
        <v>600</v>
      </c>
      <c r="H83" s="8">
        <f>SUMIFS(Ledger!$K$7:$K$1006,Ledger!$C$7:$C$1006,Portfolio!$C$5,Ledger!$B$7:$B$1006,"&lt;="&amp;$A83)</f>
        <v>70366.488000000012</v>
      </c>
      <c r="I83" s="8">
        <f>IF(S83=6,SUMPRODUCT(B83:G83,History!B83:G83),NA())</f>
        <v>478230.05700000003</v>
      </c>
      <c r="J83" s="8">
        <f t="shared" si="4"/>
        <v>548596.54500000004</v>
      </c>
      <c r="K83" s="8">
        <f>SUMIFS(Ledger!$L$7:$L$1006,Ledger!$C$7:$C$1006,Portfolio!$C$5,Ledger!$B$7:$B$1006,$A83)</f>
        <v>0</v>
      </c>
      <c r="L83" s="10">
        <f>IF(A83&lt;Holdings!$G$24,"",IF(A83=Holdings!$G$24,IF(K83&gt;0,J83/K83-1,NA()),IF(J82&gt;0,(J83-K83)/J82-1,NA())))</f>
        <v>3.4825435301617524E-3</v>
      </c>
      <c r="M83" s="11">
        <f>IF(A83&lt;Holdings!$G$24,"",IF(A83=Holdings!$G$24,100*(1+L83),M82*(1+L83)))</f>
        <v>99.586866036104098</v>
      </c>
      <c r="N83" s="11">
        <f>IF(A83&lt;Holdings!$G$24,"",IF(A83=Holdings!$G$24,MAX(100,M83),MAX(N82,M83)))</f>
        <v>101.59037800000002</v>
      </c>
      <c r="O83" s="10">
        <f>IF(A83&lt;Holdings!$G$24,"",M83/N83-1)</f>
        <v>-1.9721473660585409E-2</v>
      </c>
      <c r="P83" s="11">
        <f>IF(A83&lt;Holdings!$G$24,"",IF(History!H83&gt;0,History!H83/INDEX(History!$H$7:$H$136,MATCH(Holdings!$G$24,History!$A$7:$A$136,0))*100,NA()))</f>
        <v>97.269467199999994</v>
      </c>
      <c r="Q83" s="10">
        <f>IF(A83&lt;=Holdings!$G$24,"",P83/P82-1)</f>
        <v>9.5634611898809396E-4</v>
      </c>
      <c r="R83" s="8">
        <f>IF(A83&gt;Portfolio!$J$5,0,-K83+IF(A83=Portfolio!$J$5,J83,0))</f>
        <v>0</v>
      </c>
      <c r="S83" s="1">
        <f>COUNTIFS(History!B83:G83,"&gt;0")</f>
        <v>6</v>
      </c>
      <c r="T83" s="1" t="str">
        <f t="shared" si="5"/>
        <v>07-Jul</v>
      </c>
      <c r="U83" s="10">
        <f>IF(AND(A83&lt;=Portfolio!$J$5,A83&gt;=Holdings!$G$24),O83,0)</f>
        <v>-1.9721473660585409E-2</v>
      </c>
      <c r="V83" s="12">
        <f>IF(AND(A83&gt;Holdings!$G$24,A83&lt;=Portfolio!$J$5),L83,"")</f>
        <v>3.4825435301617524E-3</v>
      </c>
      <c r="W83" s="12">
        <f>IF(AND(A83&gt;Holdings!$G$24,A83&lt;=Portfolio!$J$5),Q83,"")</f>
        <v>9.5634611898809396E-4</v>
      </c>
    </row>
    <row r="84" spans="1:23" ht="19.95" customHeight="1" x14ac:dyDescent="0.3">
      <c r="A84" s="7">
        <v>46211</v>
      </c>
      <c r="B84" s="1">
        <f>SUMIFS(Ledger!$J$7:$J$1006,Ledger!$C$7:$C$1006,Portfolio!$C$5,Ledger!$E$7:$E$1006,History!B$6,Ledger!$B$7:$B$1006,"&lt;="&amp;$A84)</f>
        <v>100</v>
      </c>
      <c r="C84" s="1">
        <f>SUMIFS(Ledger!$J$7:$J$1006,Ledger!$C$7:$C$1006,Portfolio!$C$5,Ledger!$E$7:$E$1006,History!C$6,Ledger!$B$7:$B$1006,"&lt;="&amp;$A84)</f>
        <v>200</v>
      </c>
      <c r="D84" s="1">
        <f>SUMIFS(Ledger!$J$7:$J$1006,Ledger!$C$7:$C$1006,Portfolio!$C$5,Ledger!$E$7:$E$1006,History!D$6,Ledger!$B$7:$B$1006,"&lt;="&amp;$A84)</f>
        <v>80</v>
      </c>
      <c r="E84" s="1">
        <f>SUMIFS(Ledger!$J$7:$J$1006,Ledger!$C$7:$C$1006,Portfolio!$C$5,Ledger!$E$7:$E$1006,History!E$6,Ledger!$B$7:$B$1006,"&lt;="&amp;$A84)</f>
        <v>130</v>
      </c>
      <c r="F84" s="1">
        <f>SUMIFS(Ledger!$J$7:$J$1006,Ledger!$C$7:$C$1006,Portfolio!$C$5,Ledger!$E$7:$E$1006,History!F$6,Ledger!$B$7:$B$1006,"&lt;="&amp;$A84)</f>
        <v>480</v>
      </c>
      <c r="G84" s="1">
        <f>SUMIFS(Ledger!$J$7:$J$1006,Ledger!$C$7:$C$1006,Portfolio!$C$5,Ledger!$E$7:$E$1006,History!G$6,Ledger!$B$7:$B$1006,"&lt;="&amp;$A84)</f>
        <v>600</v>
      </c>
      <c r="H84" s="8">
        <f>SUMIFS(Ledger!$K$7:$K$1006,Ledger!$C$7:$C$1006,Portfolio!$C$5,Ledger!$B$7:$B$1006,"&lt;="&amp;$A84)</f>
        <v>70366.488000000012</v>
      </c>
      <c r="I84" s="8">
        <f>IF(S84=6,SUMPRODUCT(B84:G84,History!B84:G84),NA())</f>
        <v>479191.12399999995</v>
      </c>
      <c r="J84" s="8">
        <f t="shared" si="4"/>
        <v>549557.61199999996</v>
      </c>
      <c r="K84" s="8">
        <f>SUMIFS(Ledger!$L$7:$L$1006,Ledger!$C$7:$C$1006,Portfolio!$C$5,Ledger!$B$7:$B$1006,$A84)</f>
        <v>0</v>
      </c>
      <c r="L84" s="10">
        <f>IF(A84&lt;Holdings!$G$24,"",IF(A84=Holdings!$G$24,IF(K84&gt;0,J84/K84-1,NA()),IF(J83&gt;0,(J84-K84)/J83-1,NA())))</f>
        <v>1.7518648426775307E-3</v>
      </c>
      <c r="M84" s="11">
        <f>IF(A84&lt;Holdings!$G$24,"",IF(A84=Holdings!$G$24,100*(1+L84),M83*(1+L84)))</f>
        <v>99.761328765505183</v>
      </c>
      <c r="N84" s="11">
        <f>IF(A84&lt;Holdings!$G$24,"",IF(A84=Holdings!$G$24,MAX(100,M84),MAX(N83,M84)))</f>
        <v>101.59037800000002</v>
      </c>
      <c r="O84" s="10">
        <f>IF(A84&lt;Holdings!$G$24,"",M84/N84-1)</f>
        <v>-1.800415817425971E-2</v>
      </c>
      <c r="P84" s="11">
        <f>IF(A84&lt;Holdings!$G$24,"",IF(History!H84&gt;0,History!H84/INDEX(History!$H$7:$H$136,MATCH(Holdings!$G$24,History!$A$7:$A$136,0))*100,NA()))</f>
        <v>97.471069599999993</v>
      </c>
      <c r="Q84" s="10">
        <f>IF(A84&lt;=Holdings!$G$24,"",P84/P83-1)</f>
        <v>2.0726175006744452E-3</v>
      </c>
      <c r="R84" s="8">
        <f>IF(A84&gt;Portfolio!$J$5,0,-K84+IF(A84=Portfolio!$J$5,J84,0))</f>
        <v>0</v>
      </c>
      <c r="S84" s="1">
        <f>COUNTIFS(History!B84:G84,"&gt;0")</f>
        <v>6</v>
      </c>
      <c r="T84" s="1" t="str">
        <f t="shared" si="5"/>
        <v>08-Jul</v>
      </c>
      <c r="U84" s="10">
        <f>IF(AND(A84&lt;=Portfolio!$J$5,A84&gt;=Holdings!$G$24),O84,0)</f>
        <v>-1.800415817425971E-2</v>
      </c>
      <c r="V84" s="12">
        <f>IF(AND(A84&gt;Holdings!$G$24,A84&lt;=Portfolio!$J$5),L84,"")</f>
        <v>1.7518648426775307E-3</v>
      </c>
      <c r="W84" s="12">
        <f>IF(AND(A84&gt;Holdings!$G$24,A84&lt;=Portfolio!$J$5),Q84,"")</f>
        <v>2.0726175006744452E-3</v>
      </c>
    </row>
    <row r="85" spans="1:23" ht="19.95" customHeight="1" x14ac:dyDescent="0.3">
      <c r="A85" s="7">
        <v>46212</v>
      </c>
      <c r="B85" s="1">
        <f>SUMIFS(Ledger!$J$7:$J$1006,Ledger!$C$7:$C$1006,Portfolio!$C$5,Ledger!$E$7:$E$1006,History!B$6,Ledger!$B$7:$B$1006,"&lt;="&amp;$A85)</f>
        <v>100</v>
      </c>
      <c r="C85" s="1">
        <f>SUMIFS(Ledger!$J$7:$J$1006,Ledger!$C$7:$C$1006,Portfolio!$C$5,Ledger!$E$7:$E$1006,History!C$6,Ledger!$B$7:$B$1006,"&lt;="&amp;$A85)</f>
        <v>200</v>
      </c>
      <c r="D85" s="1">
        <f>SUMIFS(Ledger!$J$7:$J$1006,Ledger!$C$7:$C$1006,Portfolio!$C$5,Ledger!$E$7:$E$1006,History!D$6,Ledger!$B$7:$B$1006,"&lt;="&amp;$A85)</f>
        <v>80</v>
      </c>
      <c r="E85" s="1">
        <f>SUMIFS(Ledger!$J$7:$J$1006,Ledger!$C$7:$C$1006,Portfolio!$C$5,Ledger!$E$7:$E$1006,History!E$6,Ledger!$B$7:$B$1006,"&lt;="&amp;$A85)</f>
        <v>130</v>
      </c>
      <c r="F85" s="1">
        <f>SUMIFS(Ledger!$J$7:$J$1006,Ledger!$C$7:$C$1006,Portfolio!$C$5,Ledger!$E$7:$E$1006,History!F$6,Ledger!$B$7:$B$1006,"&lt;="&amp;$A85)</f>
        <v>480</v>
      </c>
      <c r="G85" s="1">
        <f>SUMIFS(Ledger!$J$7:$J$1006,Ledger!$C$7:$C$1006,Portfolio!$C$5,Ledger!$E$7:$E$1006,History!G$6,Ledger!$B$7:$B$1006,"&lt;="&amp;$A85)</f>
        <v>600</v>
      </c>
      <c r="H85" s="8">
        <f>SUMIFS(Ledger!$K$7:$K$1006,Ledger!$C$7:$C$1006,Portfolio!$C$5,Ledger!$B$7:$B$1006,"&lt;="&amp;$A85)</f>
        <v>70366.488000000012</v>
      </c>
      <c r="I85" s="8">
        <f>IF(S85=6,SUMPRODUCT(B85:G85,History!B85:G85),NA())</f>
        <v>485222.402</v>
      </c>
      <c r="J85" s="8">
        <f t="shared" si="4"/>
        <v>555588.89</v>
      </c>
      <c r="K85" s="8">
        <f>SUMIFS(Ledger!$L$7:$L$1006,Ledger!$C$7:$C$1006,Portfolio!$C$5,Ledger!$B$7:$B$1006,$A85)</f>
        <v>0</v>
      </c>
      <c r="L85" s="10">
        <f>IF(A85&lt;Holdings!$G$24,"",IF(A85=Holdings!$G$24,IF(K85&gt;0,J85/K85-1,NA()),IF(J84&gt;0,(J85-K85)/J84-1,NA())))</f>
        <v>1.097478748051639E-2</v>
      </c>
      <c r="M85" s="11">
        <f>IF(A85&lt;Holdings!$G$24,"",IF(A85=Holdings!$G$24,100*(1+L85),M84*(1+L85)))</f>
        <v>100.85618814748052</v>
      </c>
      <c r="N85" s="11">
        <f>IF(A85&lt;Holdings!$G$24,"",IF(A85=Holdings!$G$24,MAX(100,M85),MAX(N84,M85)))</f>
        <v>101.59037800000002</v>
      </c>
      <c r="O85" s="10">
        <f>IF(A85&lt;Holdings!$G$24,"",M85/N85-1)</f>
        <v>-7.2269625034714347E-3</v>
      </c>
      <c r="P85" s="11">
        <f>IF(A85&lt;Holdings!$G$24,"",IF(History!H85&gt;0,History!H85/INDEX(History!$H$7:$H$136,MATCH(Holdings!$G$24,History!$A$7:$A$136,0))*100,NA()))</f>
        <v>98.380896700000008</v>
      </c>
      <c r="Q85" s="10">
        <f>IF(A85&lt;=Holdings!$G$24,"",P85/P84-1)</f>
        <v>9.3343297014565341E-3</v>
      </c>
      <c r="R85" s="8">
        <f>IF(A85&gt;Portfolio!$J$5,0,-K85+IF(A85=Portfolio!$J$5,J85,0))</f>
        <v>0</v>
      </c>
      <c r="S85" s="1">
        <f>COUNTIFS(History!B85:G85,"&gt;0")</f>
        <v>6</v>
      </c>
      <c r="T85" s="1" t="str">
        <f t="shared" si="5"/>
        <v>09-Jul</v>
      </c>
      <c r="U85" s="10">
        <f>IF(AND(A85&lt;=Portfolio!$J$5,A85&gt;=Holdings!$G$24),O85,0)</f>
        <v>-7.2269625034714347E-3</v>
      </c>
      <c r="V85" s="12">
        <f>IF(AND(A85&gt;Holdings!$G$24,A85&lt;=Portfolio!$J$5),L85,"")</f>
        <v>1.097478748051639E-2</v>
      </c>
      <c r="W85" s="12">
        <f>IF(AND(A85&gt;Holdings!$G$24,A85&lt;=Portfolio!$J$5),Q85,"")</f>
        <v>9.3343297014565341E-3</v>
      </c>
    </row>
    <row r="86" spans="1:23" ht="19.95" customHeight="1" x14ac:dyDescent="0.3">
      <c r="A86" s="7">
        <v>46213</v>
      </c>
      <c r="B86" s="1">
        <f>SUMIFS(Ledger!$J$7:$J$1006,Ledger!$C$7:$C$1006,Portfolio!$C$5,Ledger!$E$7:$E$1006,History!B$6,Ledger!$B$7:$B$1006,"&lt;="&amp;$A86)</f>
        <v>100</v>
      </c>
      <c r="C86" s="1">
        <f>SUMIFS(Ledger!$J$7:$J$1006,Ledger!$C$7:$C$1006,Portfolio!$C$5,Ledger!$E$7:$E$1006,History!C$6,Ledger!$B$7:$B$1006,"&lt;="&amp;$A86)</f>
        <v>200</v>
      </c>
      <c r="D86" s="1">
        <f>SUMIFS(Ledger!$J$7:$J$1006,Ledger!$C$7:$C$1006,Portfolio!$C$5,Ledger!$E$7:$E$1006,History!D$6,Ledger!$B$7:$B$1006,"&lt;="&amp;$A86)</f>
        <v>80</v>
      </c>
      <c r="E86" s="1">
        <f>SUMIFS(Ledger!$J$7:$J$1006,Ledger!$C$7:$C$1006,Portfolio!$C$5,Ledger!$E$7:$E$1006,History!E$6,Ledger!$B$7:$B$1006,"&lt;="&amp;$A86)</f>
        <v>130</v>
      </c>
      <c r="F86" s="1">
        <f>SUMIFS(Ledger!$J$7:$J$1006,Ledger!$C$7:$C$1006,Portfolio!$C$5,Ledger!$E$7:$E$1006,History!F$6,Ledger!$B$7:$B$1006,"&lt;="&amp;$A86)</f>
        <v>480</v>
      </c>
      <c r="G86" s="1">
        <f>SUMIFS(Ledger!$J$7:$J$1006,Ledger!$C$7:$C$1006,Portfolio!$C$5,Ledger!$E$7:$E$1006,History!G$6,Ledger!$B$7:$B$1006,"&lt;="&amp;$A86)</f>
        <v>600</v>
      </c>
      <c r="H86" s="8">
        <f>SUMIFS(Ledger!$K$7:$K$1006,Ledger!$C$7:$C$1006,Portfolio!$C$5,Ledger!$B$7:$B$1006,"&lt;="&amp;$A86)</f>
        <v>70366.488000000012</v>
      </c>
      <c r="I86" s="8">
        <f>IF(S86=6,SUMPRODUCT(B86:G86,History!B86:G86),NA())</f>
        <v>483525.15299999999</v>
      </c>
      <c r="J86" s="8">
        <f t="shared" si="4"/>
        <v>553891.64100000006</v>
      </c>
      <c r="K86" s="8">
        <f>SUMIFS(Ledger!$L$7:$L$1006,Ledger!$C$7:$C$1006,Portfolio!$C$5,Ledger!$B$7:$B$1006,$A86)</f>
        <v>0</v>
      </c>
      <c r="L86" s="10">
        <f>IF(A86&lt;Holdings!$G$24,"",IF(A86=Holdings!$G$24,IF(K86&gt;0,J86/K86-1,NA()),IF(J85&gt;0,(J86-K86)/J85-1,NA())))</f>
        <v>-3.0548649019960239E-3</v>
      </c>
      <c r="M86" s="11">
        <f>IF(A86&lt;Holdings!$G$24,"",IF(A86=Holdings!$G$24,100*(1+L86),M85*(1+L86)))</f>
        <v>100.54808611815967</v>
      </c>
      <c r="N86" s="11">
        <f>IF(A86&lt;Holdings!$G$24,"",IF(A86=Holdings!$G$24,MAX(100,M86),MAX(N85,M86)))</f>
        <v>101.59037800000002</v>
      </c>
      <c r="O86" s="10">
        <f>IF(A86&lt;Holdings!$G$24,"",M86/N86-1)</f>
        <v>-1.0259750011367585E-2</v>
      </c>
      <c r="P86" s="11">
        <f>IF(A86&lt;Holdings!$G$24,"",IF(History!H86&gt;0,History!H86/INDEX(History!$H$7:$H$136,MATCH(Holdings!$G$24,History!$A$7:$A$136,0))*100,NA()))</f>
        <v>97.803045400000002</v>
      </c>
      <c r="Q86" s="10">
        <f>IF(A86&lt;=Holdings!$G$24,"",P86/P85-1)</f>
        <v>-5.8736128596397208E-3</v>
      </c>
      <c r="R86" s="8">
        <f>IF(A86&gt;Portfolio!$J$5,0,-K86+IF(A86=Portfolio!$J$5,J86,0))</f>
        <v>0</v>
      </c>
      <c r="S86" s="1">
        <f>COUNTIFS(History!B86:G86,"&gt;0")</f>
        <v>6</v>
      </c>
      <c r="T86" s="1" t="str">
        <f t="shared" si="5"/>
        <v>10-Jul</v>
      </c>
      <c r="U86" s="10">
        <f>IF(AND(A86&lt;=Portfolio!$J$5,A86&gt;=Holdings!$G$24),O86,0)</f>
        <v>-1.0259750011367585E-2</v>
      </c>
      <c r="V86" s="12">
        <f>IF(AND(A86&gt;Holdings!$G$24,A86&lt;=Portfolio!$J$5),L86,"")</f>
        <v>-3.0548649019960239E-3</v>
      </c>
      <c r="W86" s="12">
        <f>IF(AND(A86&gt;Holdings!$G$24,A86&lt;=Portfolio!$J$5),Q86,"")</f>
        <v>-5.8736128596397208E-3</v>
      </c>
    </row>
    <row r="87" spans="1:23" ht="19.95" customHeight="1" x14ac:dyDescent="0.3">
      <c r="A87" s="7">
        <v>46216</v>
      </c>
      <c r="B87" s="1">
        <f>SUMIFS(Ledger!$J$7:$J$1006,Ledger!$C$7:$C$1006,Portfolio!$C$5,Ledger!$E$7:$E$1006,History!B$6,Ledger!$B$7:$B$1006,"&lt;="&amp;$A87)</f>
        <v>100</v>
      </c>
      <c r="C87" s="1">
        <f>SUMIFS(Ledger!$J$7:$J$1006,Ledger!$C$7:$C$1006,Portfolio!$C$5,Ledger!$E$7:$E$1006,History!C$6,Ledger!$B$7:$B$1006,"&lt;="&amp;$A87)</f>
        <v>200</v>
      </c>
      <c r="D87" s="1">
        <f>SUMIFS(Ledger!$J$7:$J$1006,Ledger!$C$7:$C$1006,Portfolio!$C$5,Ledger!$E$7:$E$1006,History!D$6,Ledger!$B$7:$B$1006,"&lt;="&amp;$A87)</f>
        <v>80</v>
      </c>
      <c r="E87" s="1">
        <f>SUMIFS(Ledger!$J$7:$J$1006,Ledger!$C$7:$C$1006,Portfolio!$C$5,Ledger!$E$7:$E$1006,History!E$6,Ledger!$B$7:$B$1006,"&lt;="&amp;$A87)</f>
        <v>130</v>
      </c>
      <c r="F87" s="1">
        <f>SUMIFS(Ledger!$J$7:$J$1006,Ledger!$C$7:$C$1006,Portfolio!$C$5,Ledger!$E$7:$E$1006,History!F$6,Ledger!$B$7:$B$1006,"&lt;="&amp;$A87)</f>
        <v>480</v>
      </c>
      <c r="G87" s="1">
        <f>SUMIFS(Ledger!$J$7:$J$1006,Ledger!$C$7:$C$1006,Portfolio!$C$5,Ledger!$E$7:$E$1006,History!G$6,Ledger!$B$7:$B$1006,"&lt;="&amp;$A87)</f>
        <v>600</v>
      </c>
      <c r="H87" s="8">
        <f>SUMIFS(Ledger!$K$7:$K$1006,Ledger!$C$7:$C$1006,Portfolio!$C$5,Ledger!$B$7:$B$1006,"&lt;="&amp;$A87)</f>
        <v>70366.488000000012</v>
      </c>
      <c r="I87" s="8">
        <f>IF(S87=6,SUMPRODUCT(B87:G87,History!B87:G87),NA())</f>
        <v>485413.65099999995</v>
      </c>
      <c r="J87" s="8">
        <f t="shared" si="4"/>
        <v>555780.13899999997</v>
      </c>
      <c r="K87" s="8">
        <f>SUMIFS(Ledger!$L$7:$L$1006,Ledger!$C$7:$C$1006,Portfolio!$C$5,Ledger!$B$7:$B$1006,$A87)</f>
        <v>0</v>
      </c>
      <c r="L87" s="10">
        <f>IF(A87&lt;Holdings!$G$24,"",IF(A87=Holdings!$G$24,IF(K87&gt;0,J87/K87-1,NA()),IF(J86&gt;0,(J87-K87)/J86-1,NA())))</f>
        <v>3.4095080340812434E-3</v>
      </c>
      <c r="M87" s="11">
        <f>IF(A87&lt;Holdings!$G$24,"",IF(A87=Holdings!$G$24,100*(1+L87),M86*(1+L87)))</f>
        <v>100.89090562559103</v>
      </c>
      <c r="N87" s="11">
        <f>IF(A87&lt;Holdings!$G$24,"",IF(A87=Holdings!$G$24,MAX(100,M87),MAX(N86,M87)))</f>
        <v>101.59037800000002</v>
      </c>
      <c r="O87" s="10">
        <f>IF(A87&lt;Holdings!$G$24,"",M87/N87-1)</f>
        <v>-6.8852226773777891E-3</v>
      </c>
      <c r="P87" s="11">
        <f>IF(A87&lt;Holdings!$G$24,"",IF(History!H87&gt;0,History!H87/INDEX(History!$H$7:$H$136,MATCH(Holdings!$G$24,History!$A$7:$A$136,0))*100,NA()))</f>
        <v>97.471713600000001</v>
      </c>
      <c r="Q87" s="10">
        <f>IF(A87&lt;=Holdings!$G$24,"",P87/P86-1)</f>
        <v>-3.3877452245469897E-3</v>
      </c>
      <c r="R87" s="8">
        <f>IF(A87&gt;Portfolio!$J$5,0,-K87+IF(A87=Portfolio!$J$5,J87,0))</f>
        <v>0</v>
      </c>
      <c r="S87" s="1">
        <f>COUNTIFS(History!B87:G87,"&gt;0")</f>
        <v>6</v>
      </c>
      <c r="T87" s="1" t="str">
        <f t="shared" si="5"/>
        <v>13-Jul</v>
      </c>
      <c r="U87" s="10">
        <f>IF(AND(A87&lt;=Portfolio!$J$5,A87&gt;=Holdings!$G$24),O87,0)</f>
        <v>-6.8852226773777891E-3</v>
      </c>
      <c r="V87" s="12">
        <f>IF(AND(A87&gt;Holdings!$G$24,A87&lt;=Portfolio!$J$5),L87,"")</f>
        <v>3.4095080340812434E-3</v>
      </c>
      <c r="W87" s="12">
        <f>IF(AND(A87&gt;Holdings!$G$24,A87&lt;=Portfolio!$J$5),Q87,"")</f>
        <v>-3.3877452245469897E-3</v>
      </c>
    </row>
    <row r="88" spans="1:23" ht="19.95" customHeight="1" x14ac:dyDescent="0.3">
      <c r="A88" s="7">
        <v>46217</v>
      </c>
      <c r="B88" s="1">
        <f>SUMIFS(Ledger!$J$7:$J$1006,Ledger!$C$7:$C$1006,Portfolio!$C$5,Ledger!$E$7:$E$1006,History!B$6,Ledger!$B$7:$B$1006,"&lt;="&amp;$A88)</f>
        <v>100</v>
      </c>
      <c r="C88" s="1">
        <f>SUMIFS(Ledger!$J$7:$J$1006,Ledger!$C$7:$C$1006,Portfolio!$C$5,Ledger!$E$7:$E$1006,History!C$6,Ledger!$B$7:$B$1006,"&lt;="&amp;$A88)</f>
        <v>200</v>
      </c>
      <c r="D88" s="1">
        <f>SUMIFS(Ledger!$J$7:$J$1006,Ledger!$C$7:$C$1006,Portfolio!$C$5,Ledger!$E$7:$E$1006,History!D$6,Ledger!$B$7:$B$1006,"&lt;="&amp;$A88)</f>
        <v>80</v>
      </c>
      <c r="E88" s="1">
        <f>SUMIFS(Ledger!$J$7:$J$1006,Ledger!$C$7:$C$1006,Portfolio!$C$5,Ledger!$E$7:$E$1006,History!E$6,Ledger!$B$7:$B$1006,"&lt;="&amp;$A88)</f>
        <v>130</v>
      </c>
      <c r="F88" s="1">
        <f>SUMIFS(Ledger!$J$7:$J$1006,Ledger!$C$7:$C$1006,Portfolio!$C$5,Ledger!$E$7:$E$1006,History!F$6,Ledger!$B$7:$B$1006,"&lt;="&amp;$A88)</f>
        <v>480</v>
      </c>
      <c r="G88" s="1">
        <f>SUMIFS(Ledger!$J$7:$J$1006,Ledger!$C$7:$C$1006,Portfolio!$C$5,Ledger!$E$7:$E$1006,History!G$6,Ledger!$B$7:$B$1006,"&lt;="&amp;$A88)</f>
        <v>600</v>
      </c>
      <c r="H88" s="8">
        <f>SUMIFS(Ledger!$K$7:$K$1006,Ledger!$C$7:$C$1006,Portfolio!$C$5,Ledger!$B$7:$B$1006,"&lt;="&amp;$A88)</f>
        <v>70366.488000000012</v>
      </c>
      <c r="I88" s="8">
        <f>IF(S88=6,SUMPRODUCT(B88:G88,History!B88:G88),NA())</f>
        <v>486488.93200000003</v>
      </c>
      <c r="J88" s="8">
        <f t="shared" si="4"/>
        <v>556855.42000000004</v>
      </c>
      <c r="K88" s="8">
        <f>SUMIFS(Ledger!$L$7:$L$1006,Ledger!$C$7:$C$1006,Portfolio!$C$5,Ledger!$B$7:$B$1006,$A88)</f>
        <v>0</v>
      </c>
      <c r="L88" s="10">
        <f>IF(A88&lt;Holdings!$G$24,"",IF(A88=Holdings!$G$24,IF(K88&gt;0,J88/K88-1,NA()),IF(J87&gt;0,(J88-K88)/J87-1,NA())))</f>
        <v>1.934723687562423E-3</v>
      </c>
      <c r="M88" s="11">
        <f>IF(A88&lt;Holdings!$G$24,"",IF(A88=Holdings!$G$24,100*(1+L88),M87*(1+L88)))</f>
        <v>101.08610165056449</v>
      </c>
      <c r="N88" s="11">
        <f>IF(A88&lt;Holdings!$G$24,"",IF(A88=Holdings!$G$24,MAX(100,M88),MAX(N87,M88)))</f>
        <v>101.59037800000002</v>
      </c>
      <c r="O88" s="10">
        <f>IF(A88&lt;Holdings!$G$24,"",M88/N88-1)</f>
        <v>-4.9638199932234839E-3</v>
      </c>
      <c r="P88" s="11">
        <f>IF(A88&lt;Holdings!$G$24,"",IF(History!H88&gt;0,History!H88/INDEX(History!$H$7:$H$136,MATCH(Holdings!$G$24,History!$A$7:$A$136,0))*100,NA()))</f>
        <v>97.638789099999997</v>
      </c>
      <c r="Q88" s="10">
        <f>IF(A88&lt;=Holdings!$G$24,"",P88/P87-1)</f>
        <v>1.7140921589378078E-3</v>
      </c>
      <c r="R88" s="8">
        <f>IF(A88&gt;Portfolio!$J$5,0,-K88+IF(A88=Portfolio!$J$5,J88,0))</f>
        <v>0</v>
      </c>
      <c r="S88" s="1">
        <f>COUNTIFS(History!B88:G88,"&gt;0")</f>
        <v>6</v>
      </c>
      <c r="T88" s="1" t="str">
        <f t="shared" si="5"/>
        <v>14-Jul</v>
      </c>
      <c r="U88" s="10">
        <f>IF(AND(A88&lt;=Portfolio!$J$5,A88&gt;=Holdings!$G$24),O88,0)</f>
        <v>-4.9638199932234839E-3</v>
      </c>
      <c r="V88" s="12">
        <f>IF(AND(A88&gt;Holdings!$G$24,A88&lt;=Portfolio!$J$5),L88,"")</f>
        <v>1.934723687562423E-3</v>
      </c>
      <c r="W88" s="12">
        <f>IF(AND(A88&gt;Holdings!$G$24,A88&lt;=Portfolio!$J$5),Q88,"")</f>
        <v>1.7140921589378078E-3</v>
      </c>
    </row>
    <row r="89" spans="1:23" ht="19.95" customHeight="1" x14ac:dyDescent="0.3">
      <c r="A89" s="7">
        <v>46218</v>
      </c>
      <c r="B89" s="1">
        <f>SUMIFS(Ledger!$J$7:$J$1006,Ledger!$C$7:$C$1006,Portfolio!$C$5,Ledger!$E$7:$E$1006,History!B$6,Ledger!$B$7:$B$1006,"&lt;="&amp;$A89)</f>
        <v>100</v>
      </c>
      <c r="C89" s="1">
        <f>SUMIFS(Ledger!$J$7:$J$1006,Ledger!$C$7:$C$1006,Portfolio!$C$5,Ledger!$E$7:$E$1006,History!C$6,Ledger!$B$7:$B$1006,"&lt;="&amp;$A89)</f>
        <v>200</v>
      </c>
      <c r="D89" s="1">
        <f>SUMIFS(Ledger!$J$7:$J$1006,Ledger!$C$7:$C$1006,Portfolio!$C$5,Ledger!$E$7:$E$1006,History!D$6,Ledger!$B$7:$B$1006,"&lt;="&amp;$A89)</f>
        <v>80</v>
      </c>
      <c r="E89" s="1">
        <f>SUMIFS(Ledger!$J$7:$J$1006,Ledger!$C$7:$C$1006,Portfolio!$C$5,Ledger!$E$7:$E$1006,History!E$6,Ledger!$B$7:$B$1006,"&lt;="&amp;$A89)</f>
        <v>130</v>
      </c>
      <c r="F89" s="1">
        <f>SUMIFS(Ledger!$J$7:$J$1006,Ledger!$C$7:$C$1006,Portfolio!$C$5,Ledger!$E$7:$E$1006,History!F$6,Ledger!$B$7:$B$1006,"&lt;="&amp;$A89)</f>
        <v>480</v>
      </c>
      <c r="G89" s="1">
        <f>SUMIFS(Ledger!$J$7:$J$1006,Ledger!$C$7:$C$1006,Portfolio!$C$5,Ledger!$E$7:$E$1006,History!G$6,Ledger!$B$7:$B$1006,"&lt;="&amp;$A89)</f>
        <v>600</v>
      </c>
      <c r="H89" s="8">
        <f>SUMIFS(Ledger!$K$7:$K$1006,Ledger!$C$7:$C$1006,Portfolio!$C$5,Ledger!$B$7:$B$1006,"&lt;="&amp;$A89)</f>
        <v>70366.488000000012</v>
      </c>
      <c r="I89" s="8">
        <f>IF(S89=6,SUMPRODUCT(B89:G89,History!B89:G89),NA())</f>
        <v>491433.93</v>
      </c>
      <c r="J89" s="8">
        <f t="shared" si="4"/>
        <v>561800.41800000006</v>
      </c>
      <c r="K89" s="8">
        <f>SUMIFS(Ledger!$L$7:$L$1006,Ledger!$C$7:$C$1006,Portfolio!$C$5,Ledger!$B$7:$B$1006,$A89)</f>
        <v>0</v>
      </c>
      <c r="L89" s="10">
        <f>IF(A89&lt;Holdings!$G$24,"",IF(A89=Holdings!$G$24,IF(K89&gt;0,J89/K89-1,NA()),IF(J88&gt;0,(J89-K89)/J88-1,NA())))</f>
        <v>8.8802188546535099E-3</v>
      </c>
      <c r="M89" s="11">
        <f>IF(A89&lt;Holdings!$G$24,"",IF(A89=Holdings!$G$24,100*(1+L89),M88*(1+L89)))</f>
        <v>101.98376835638526</v>
      </c>
      <c r="N89" s="11">
        <f>IF(A89&lt;Holdings!$G$24,"",IF(A89=Holdings!$G$24,MAX(100,M89),MAX(N88,M89)))</f>
        <v>101.98376835638526</v>
      </c>
      <c r="O89" s="10">
        <f>IF(A89&lt;Holdings!$G$24,"",M89/N89-1)</f>
        <v>0</v>
      </c>
      <c r="P89" s="11">
        <f>IF(A89&lt;Holdings!$G$24,"",IF(History!H89&gt;0,History!H89/INDEX(History!$H$7:$H$136,MATCH(Holdings!$G$24,History!$A$7:$A$136,0))*100,NA()))</f>
        <v>98.448917600000001</v>
      </c>
      <c r="Q89" s="10">
        <f>IF(A89&lt;=Holdings!$G$24,"",P89/P88-1)</f>
        <v>8.2971993760623253E-3</v>
      </c>
      <c r="R89" s="8">
        <f>IF(A89&gt;Portfolio!$J$5,0,-K89+IF(A89=Portfolio!$J$5,J89,0))</f>
        <v>0</v>
      </c>
      <c r="S89" s="1">
        <f>COUNTIFS(History!B89:G89,"&gt;0")</f>
        <v>6</v>
      </c>
      <c r="T89" s="1" t="str">
        <f t="shared" si="5"/>
        <v>15-Jul</v>
      </c>
      <c r="U89" s="10">
        <f>IF(AND(A89&lt;=Portfolio!$J$5,A89&gt;=Holdings!$G$24),O89,0)</f>
        <v>0</v>
      </c>
      <c r="V89" s="12">
        <f>IF(AND(A89&gt;Holdings!$G$24,A89&lt;=Portfolio!$J$5),L89,"")</f>
        <v>8.8802188546535099E-3</v>
      </c>
      <c r="W89" s="12">
        <f>IF(AND(A89&gt;Holdings!$G$24,A89&lt;=Portfolio!$J$5),Q89,"")</f>
        <v>8.2971993760623253E-3</v>
      </c>
    </row>
    <row r="90" spans="1:23" ht="19.95" customHeight="1" x14ac:dyDescent="0.3">
      <c r="A90" s="7">
        <v>46219</v>
      </c>
      <c r="B90" s="1">
        <f>SUMIFS(Ledger!$J$7:$J$1006,Ledger!$C$7:$C$1006,Portfolio!$C$5,Ledger!$E$7:$E$1006,History!B$6,Ledger!$B$7:$B$1006,"&lt;="&amp;$A90)</f>
        <v>100</v>
      </c>
      <c r="C90" s="1">
        <f>SUMIFS(Ledger!$J$7:$J$1006,Ledger!$C$7:$C$1006,Portfolio!$C$5,Ledger!$E$7:$E$1006,History!C$6,Ledger!$B$7:$B$1006,"&lt;="&amp;$A90)</f>
        <v>200</v>
      </c>
      <c r="D90" s="1">
        <f>SUMIFS(Ledger!$J$7:$J$1006,Ledger!$C$7:$C$1006,Portfolio!$C$5,Ledger!$E$7:$E$1006,History!D$6,Ledger!$B$7:$B$1006,"&lt;="&amp;$A90)</f>
        <v>80</v>
      </c>
      <c r="E90" s="1">
        <f>SUMIFS(Ledger!$J$7:$J$1006,Ledger!$C$7:$C$1006,Portfolio!$C$5,Ledger!$E$7:$E$1006,History!E$6,Ledger!$B$7:$B$1006,"&lt;="&amp;$A90)</f>
        <v>130</v>
      </c>
      <c r="F90" s="1">
        <f>SUMIFS(Ledger!$J$7:$J$1006,Ledger!$C$7:$C$1006,Portfolio!$C$5,Ledger!$E$7:$E$1006,History!F$6,Ledger!$B$7:$B$1006,"&lt;="&amp;$A90)</f>
        <v>480</v>
      </c>
      <c r="G90" s="1">
        <f>SUMIFS(Ledger!$J$7:$J$1006,Ledger!$C$7:$C$1006,Portfolio!$C$5,Ledger!$E$7:$E$1006,History!G$6,Ledger!$B$7:$B$1006,"&lt;="&amp;$A90)</f>
        <v>600</v>
      </c>
      <c r="H90" s="8">
        <f>SUMIFS(Ledger!$K$7:$K$1006,Ledger!$C$7:$C$1006,Portfolio!$C$5,Ledger!$B$7:$B$1006,"&lt;="&amp;$A90)</f>
        <v>70366.488000000012</v>
      </c>
      <c r="I90" s="8">
        <f>IF(S90=6,SUMPRODUCT(B90:G90,History!B90:G90),NA())</f>
        <v>491134.42399999994</v>
      </c>
      <c r="J90" s="8">
        <f t="shared" si="4"/>
        <v>561500.91200000001</v>
      </c>
      <c r="K90" s="8">
        <f>SUMIFS(Ledger!$L$7:$L$1006,Ledger!$C$7:$C$1006,Portfolio!$C$5,Ledger!$B$7:$B$1006,$A90)</f>
        <v>0</v>
      </c>
      <c r="L90" s="10">
        <f>IF(A90&lt;Holdings!$G$24,"",IF(A90=Holdings!$G$24,IF(K90&gt;0,J90/K90-1,NA()),IF(J89&gt;0,(J90-K90)/J89-1,NA())))</f>
        <v>-5.3311815086620751E-4</v>
      </c>
      <c r="M90" s="11">
        <f>IF(A90&lt;Holdings!$G$24,"",IF(A90=Holdings!$G$24,100*(1+L90),M89*(1+L90)))</f>
        <v>101.92939895838073</v>
      </c>
      <c r="N90" s="11">
        <f>IF(A90&lt;Holdings!$G$24,"",IF(A90=Holdings!$G$24,MAX(100,M90),MAX(N89,M90)))</f>
        <v>101.98376835638526</v>
      </c>
      <c r="O90" s="10">
        <f>IF(A90&lt;Holdings!$G$24,"",M90/N90-1)</f>
        <v>-5.3311815086620751E-4</v>
      </c>
      <c r="P90" s="11">
        <f>IF(A90&lt;Holdings!$G$24,"",IF(History!H90&gt;0,History!H90/INDEX(History!$H$7:$H$136,MATCH(Holdings!$G$24,History!$A$7:$A$136,0))*100,NA()))</f>
        <v>98.389174800000006</v>
      </c>
      <c r="Q90" s="10">
        <f>IF(A90&lt;=Holdings!$G$24,"",P90/P89-1)</f>
        <v>-6.0684059770699239E-4</v>
      </c>
      <c r="R90" s="8">
        <f>IF(A90&gt;Portfolio!$J$5,0,-K90+IF(A90=Portfolio!$J$5,J90,0))</f>
        <v>0</v>
      </c>
      <c r="S90" s="1">
        <f>COUNTIFS(History!B90:G90,"&gt;0")</f>
        <v>6</v>
      </c>
      <c r="T90" s="1" t="str">
        <f t="shared" si="5"/>
        <v>16-Jul</v>
      </c>
      <c r="U90" s="10">
        <f>IF(AND(A90&lt;=Portfolio!$J$5,A90&gt;=Holdings!$G$24),O90,0)</f>
        <v>-5.3311815086620751E-4</v>
      </c>
      <c r="V90" s="12">
        <f>IF(AND(A90&gt;Holdings!$G$24,A90&lt;=Portfolio!$J$5),L90,"")</f>
        <v>-5.3311815086620751E-4</v>
      </c>
      <c r="W90" s="12">
        <f>IF(AND(A90&gt;Holdings!$G$24,A90&lt;=Portfolio!$J$5),Q90,"")</f>
        <v>-6.0684059770699239E-4</v>
      </c>
    </row>
    <row r="91" spans="1:23" ht="19.95" customHeight="1" x14ac:dyDescent="0.3">
      <c r="A91" s="7">
        <v>46220</v>
      </c>
      <c r="B91" s="1">
        <f>SUMIFS(Ledger!$J$7:$J$1006,Ledger!$C$7:$C$1006,Portfolio!$C$5,Ledger!$E$7:$E$1006,History!B$6,Ledger!$B$7:$B$1006,"&lt;="&amp;$A91)</f>
        <v>100</v>
      </c>
      <c r="C91" s="1">
        <f>SUMIFS(Ledger!$J$7:$J$1006,Ledger!$C$7:$C$1006,Portfolio!$C$5,Ledger!$E$7:$E$1006,History!C$6,Ledger!$B$7:$B$1006,"&lt;="&amp;$A91)</f>
        <v>200</v>
      </c>
      <c r="D91" s="1">
        <f>SUMIFS(Ledger!$J$7:$J$1006,Ledger!$C$7:$C$1006,Portfolio!$C$5,Ledger!$E$7:$E$1006,History!D$6,Ledger!$B$7:$B$1006,"&lt;="&amp;$A91)</f>
        <v>80</v>
      </c>
      <c r="E91" s="1">
        <f>SUMIFS(Ledger!$J$7:$J$1006,Ledger!$C$7:$C$1006,Portfolio!$C$5,Ledger!$E$7:$E$1006,History!E$6,Ledger!$B$7:$B$1006,"&lt;="&amp;$A91)</f>
        <v>130</v>
      </c>
      <c r="F91" s="1">
        <f>SUMIFS(Ledger!$J$7:$J$1006,Ledger!$C$7:$C$1006,Portfolio!$C$5,Ledger!$E$7:$E$1006,History!F$6,Ledger!$B$7:$B$1006,"&lt;="&amp;$A91)</f>
        <v>480</v>
      </c>
      <c r="G91" s="1">
        <f>SUMIFS(Ledger!$J$7:$J$1006,Ledger!$C$7:$C$1006,Portfolio!$C$5,Ledger!$E$7:$E$1006,History!G$6,Ledger!$B$7:$B$1006,"&lt;="&amp;$A91)</f>
        <v>600</v>
      </c>
      <c r="H91" s="8">
        <f>SUMIFS(Ledger!$K$7:$K$1006,Ledger!$C$7:$C$1006,Portfolio!$C$5,Ledger!$B$7:$B$1006,"&lt;="&amp;$A91)</f>
        <v>70366.488000000012</v>
      </c>
      <c r="I91" s="8">
        <f>IF(S91=6,SUMPRODUCT(B91:G91,History!B91:G91),NA())</f>
        <v>489782.58999999997</v>
      </c>
      <c r="J91" s="8">
        <f t="shared" si="4"/>
        <v>560149.07799999998</v>
      </c>
      <c r="K91" s="8">
        <f>SUMIFS(Ledger!$L$7:$L$1006,Ledger!$C$7:$C$1006,Portfolio!$C$5,Ledger!$B$7:$B$1006,$A91)</f>
        <v>0</v>
      </c>
      <c r="L91" s="10">
        <f>IF(A91&lt;Holdings!$G$24,"",IF(A91=Holdings!$G$24,IF(K91&gt;0,J91/K91-1,NA()),IF(J90&gt;0,(J91-K91)/J90-1,NA())))</f>
        <v>-2.4075366061027115E-3</v>
      </c>
      <c r="M91" s="11">
        <f>IF(A91&lt;Holdings!$G$24,"",IF(A91=Holdings!$G$24,100*(1+L91),M90*(1+L91)))</f>
        <v>101.68400019915038</v>
      </c>
      <c r="N91" s="11">
        <f>IF(A91&lt;Holdings!$G$24,"",IF(A91=Holdings!$G$24,MAX(100,M91),MAX(N90,M91)))</f>
        <v>101.98376835638526</v>
      </c>
      <c r="O91" s="10">
        <f>IF(A91&lt;Holdings!$G$24,"",M91/N91-1)</f>
        <v>-2.939371255505363E-3</v>
      </c>
      <c r="P91" s="11">
        <f>IF(A91&lt;Holdings!$G$24,"",IF(History!H91&gt;0,History!H91/INDEX(History!$H$7:$H$136,MATCH(Holdings!$G$24,History!$A$7:$A$136,0))*100,NA()))</f>
        <v>97.566513400000005</v>
      </c>
      <c r="Q91" s="10">
        <f>IF(A91&lt;=Holdings!$G$24,"",P91/P90-1)</f>
        <v>-8.3612999262597798E-3</v>
      </c>
      <c r="R91" s="8">
        <f>IF(A91&gt;Portfolio!$J$5,0,-K91+IF(A91=Portfolio!$J$5,J91,0))</f>
        <v>0</v>
      </c>
      <c r="S91" s="1">
        <f>COUNTIFS(History!B91:G91,"&gt;0")</f>
        <v>6</v>
      </c>
      <c r="T91" s="1" t="str">
        <f t="shared" si="5"/>
        <v>17-Jul</v>
      </c>
      <c r="U91" s="10">
        <f>IF(AND(A91&lt;=Portfolio!$J$5,A91&gt;=Holdings!$G$24),O91,0)</f>
        <v>-2.939371255505363E-3</v>
      </c>
      <c r="V91" s="12">
        <f>IF(AND(A91&gt;Holdings!$G$24,A91&lt;=Portfolio!$J$5),L91,"")</f>
        <v>-2.4075366061027115E-3</v>
      </c>
      <c r="W91" s="12">
        <f>IF(AND(A91&gt;Holdings!$G$24,A91&lt;=Portfolio!$J$5),Q91,"")</f>
        <v>-8.3612999262597798E-3</v>
      </c>
    </row>
    <row r="92" spans="1:23" ht="19.95" customHeight="1" x14ac:dyDescent="0.3">
      <c r="A92" s="7">
        <v>46223</v>
      </c>
      <c r="B92" s="1">
        <f>SUMIFS(Ledger!$J$7:$J$1006,Ledger!$C$7:$C$1006,Portfolio!$C$5,Ledger!$E$7:$E$1006,History!B$6,Ledger!$B$7:$B$1006,"&lt;="&amp;$A92)</f>
        <v>100</v>
      </c>
      <c r="C92" s="1">
        <f>SUMIFS(Ledger!$J$7:$J$1006,Ledger!$C$7:$C$1006,Portfolio!$C$5,Ledger!$E$7:$E$1006,History!C$6,Ledger!$B$7:$B$1006,"&lt;="&amp;$A92)</f>
        <v>200</v>
      </c>
      <c r="D92" s="1">
        <f>SUMIFS(Ledger!$J$7:$J$1006,Ledger!$C$7:$C$1006,Portfolio!$C$5,Ledger!$E$7:$E$1006,History!D$6,Ledger!$B$7:$B$1006,"&lt;="&amp;$A92)</f>
        <v>80</v>
      </c>
      <c r="E92" s="1">
        <f>SUMIFS(Ledger!$J$7:$J$1006,Ledger!$C$7:$C$1006,Portfolio!$C$5,Ledger!$E$7:$E$1006,History!E$6,Ledger!$B$7:$B$1006,"&lt;="&amp;$A92)</f>
        <v>130</v>
      </c>
      <c r="F92" s="1">
        <f>SUMIFS(Ledger!$J$7:$J$1006,Ledger!$C$7:$C$1006,Portfolio!$C$5,Ledger!$E$7:$E$1006,History!F$6,Ledger!$B$7:$B$1006,"&lt;="&amp;$A92)</f>
        <v>480</v>
      </c>
      <c r="G92" s="1">
        <f>SUMIFS(Ledger!$J$7:$J$1006,Ledger!$C$7:$C$1006,Portfolio!$C$5,Ledger!$E$7:$E$1006,History!G$6,Ledger!$B$7:$B$1006,"&lt;="&amp;$A92)</f>
        <v>600</v>
      </c>
      <c r="H92" s="8">
        <f>SUMIFS(Ledger!$K$7:$K$1006,Ledger!$C$7:$C$1006,Portfolio!$C$5,Ledger!$B$7:$B$1006,"&lt;="&amp;$A92)</f>
        <v>70366.488000000012</v>
      </c>
      <c r="I92" s="8">
        <f>IF(S92=6,SUMPRODUCT(B92:G92,History!B92:G92),NA())</f>
        <v>488107.38199999998</v>
      </c>
      <c r="J92" s="8">
        <f t="shared" si="4"/>
        <v>558473.87</v>
      </c>
      <c r="K92" s="8">
        <f>SUMIFS(Ledger!$L$7:$L$1006,Ledger!$C$7:$C$1006,Portfolio!$C$5,Ledger!$B$7:$B$1006,$A92)</f>
        <v>0</v>
      </c>
      <c r="L92" s="10">
        <f>IF(A92&lt;Holdings!$G$24,"",IF(A92=Holdings!$G$24,IF(K92&gt;0,J92/K92-1,NA()),IF(J91&gt;0,(J92-K92)/J91-1,NA())))</f>
        <v>-2.9906467149446447E-3</v>
      </c>
      <c r="M92" s="11">
        <f>IF(A92&lt;Holdings!$G$24,"",IF(A92=Holdings!$G$24,100*(1+L92),M91*(1+L92)))</f>
        <v>101.37989927799235</v>
      </c>
      <c r="N92" s="11">
        <f>IF(A92&lt;Holdings!$G$24,"",IF(A92=Holdings!$G$24,MAX(100,M92),MAX(N91,M92)))</f>
        <v>101.98376835638526</v>
      </c>
      <c r="O92" s="10">
        <f>IF(A92&lt;Holdings!$G$24,"",M92/N92-1)</f>
        <v>-5.921227349460767E-3</v>
      </c>
      <c r="P92" s="11">
        <f>IF(A92&lt;Holdings!$G$24,"",IF(History!H92&gt;0,History!H92/INDEX(History!$H$7:$H$136,MATCH(Holdings!$G$24,History!$A$7:$A$136,0))*100,NA()))</f>
        <v>97.569979399999994</v>
      </c>
      <c r="Q92" s="10">
        <f>IF(A92&lt;=Holdings!$G$24,"",P92/P91-1)</f>
        <v>3.5524483546822694E-5</v>
      </c>
      <c r="R92" s="8">
        <f>IF(A92&gt;Portfolio!$J$5,0,-K92+IF(A92=Portfolio!$J$5,J92,0))</f>
        <v>0</v>
      </c>
      <c r="S92" s="1">
        <f>COUNTIFS(History!B92:G92,"&gt;0")</f>
        <v>6</v>
      </c>
      <c r="T92" s="1" t="str">
        <f t="shared" si="5"/>
        <v>20-Jul</v>
      </c>
      <c r="U92" s="10">
        <f>IF(AND(A92&lt;=Portfolio!$J$5,A92&gt;=Holdings!$G$24),O92,0)</f>
        <v>-5.921227349460767E-3</v>
      </c>
      <c r="V92" s="12">
        <f>IF(AND(A92&gt;Holdings!$G$24,A92&lt;=Portfolio!$J$5),L92,"")</f>
        <v>-2.9906467149446447E-3</v>
      </c>
      <c r="W92" s="12">
        <f>IF(AND(A92&gt;Holdings!$G$24,A92&lt;=Portfolio!$J$5),Q92,"")</f>
        <v>3.5524483546822694E-5</v>
      </c>
    </row>
    <row r="93" spans="1:23" ht="19.95" customHeight="1" x14ac:dyDescent="0.3">
      <c r="A93" s="7">
        <v>46224</v>
      </c>
      <c r="B93" s="1">
        <f>SUMIFS(Ledger!$J$7:$J$1006,Ledger!$C$7:$C$1006,Portfolio!$C$5,Ledger!$E$7:$E$1006,History!B$6,Ledger!$B$7:$B$1006,"&lt;="&amp;$A93)</f>
        <v>100</v>
      </c>
      <c r="C93" s="1">
        <f>SUMIFS(Ledger!$J$7:$J$1006,Ledger!$C$7:$C$1006,Portfolio!$C$5,Ledger!$E$7:$E$1006,History!C$6,Ledger!$B$7:$B$1006,"&lt;="&amp;$A93)</f>
        <v>200</v>
      </c>
      <c r="D93" s="1">
        <f>SUMIFS(Ledger!$J$7:$J$1006,Ledger!$C$7:$C$1006,Portfolio!$C$5,Ledger!$E$7:$E$1006,History!D$6,Ledger!$B$7:$B$1006,"&lt;="&amp;$A93)</f>
        <v>80</v>
      </c>
      <c r="E93" s="1">
        <f>SUMIFS(Ledger!$J$7:$J$1006,Ledger!$C$7:$C$1006,Portfolio!$C$5,Ledger!$E$7:$E$1006,History!E$6,Ledger!$B$7:$B$1006,"&lt;="&amp;$A93)</f>
        <v>130</v>
      </c>
      <c r="F93" s="1">
        <f>SUMIFS(Ledger!$J$7:$J$1006,Ledger!$C$7:$C$1006,Portfolio!$C$5,Ledger!$E$7:$E$1006,History!F$6,Ledger!$B$7:$B$1006,"&lt;="&amp;$A93)</f>
        <v>480</v>
      </c>
      <c r="G93" s="1">
        <f>SUMIFS(Ledger!$J$7:$J$1006,Ledger!$C$7:$C$1006,Portfolio!$C$5,Ledger!$E$7:$E$1006,History!G$6,Ledger!$B$7:$B$1006,"&lt;="&amp;$A93)</f>
        <v>600</v>
      </c>
      <c r="H93" s="8">
        <f>SUMIFS(Ledger!$K$7:$K$1006,Ledger!$C$7:$C$1006,Portfolio!$C$5,Ledger!$B$7:$B$1006,"&lt;="&amp;$A93)</f>
        <v>70366.488000000012</v>
      </c>
      <c r="I93" s="8">
        <f>IF(S93=6,SUMPRODUCT(B93:G93,History!B93:G93),NA())</f>
        <v>483911.52</v>
      </c>
      <c r="J93" s="8">
        <f t="shared" si="4"/>
        <v>554278.00800000003</v>
      </c>
      <c r="K93" s="8">
        <f>SUMIFS(Ledger!$L$7:$L$1006,Ledger!$C$7:$C$1006,Portfolio!$C$5,Ledger!$B$7:$B$1006,$A93)</f>
        <v>0</v>
      </c>
      <c r="L93" s="10">
        <f>IF(A93&lt;Holdings!$G$24,"",IF(A93=Holdings!$G$24,IF(K93&gt;0,J93/K93-1,NA()),IF(J92&gt;0,(J93-K93)/J92-1,NA())))</f>
        <v>-7.5130856167002769E-3</v>
      </c>
      <c r="M93" s="11">
        <f>IF(A93&lt;Holdings!$G$24,"",IF(A93=Holdings!$G$24,100*(1+L93),M92*(1+L93)))</f>
        <v>100.61822341490435</v>
      </c>
      <c r="N93" s="11">
        <f>IF(A93&lt;Holdings!$G$24,"",IF(A93=Holdings!$G$24,MAX(100,M93),MAX(N92,M93)))</f>
        <v>101.98376835638526</v>
      </c>
      <c r="O93" s="10">
        <f>IF(A93&lt;Holdings!$G$24,"",M93/N93-1)</f>
        <v>-1.3389826278128569E-2</v>
      </c>
      <c r="P93" s="11">
        <f>IF(A93&lt;Holdings!$G$24,"",IF(History!H93&gt;0,History!H93/INDEX(History!$H$7:$H$136,MATCH(Holdings!$G$24,History!$A$7:$A$136,0))*100,NA()))</f>
        <v>96.779139200000003</v>
      </c>
      <c r="Q93" s="10">
        <f>IF(A93&lt;=Holdings!$G$24,"",P93/P92-1)</f>
        <v>-8.105364015276062E-3</v>
      </c>
      <c r="R93" s="8">
        <f>IF(A93&gt;Portfolio!$J$5,0,-K93+IF(A93=Portfolio!$J$5,J93,0))</f>
        <v>0</v>
      </c>
      <c r="S93" s="1">
        <f>COUNTIFS(History!B93:G93,"&gt;0")</f>
        <v>6</v>
      </c>
      <c r="T93" s="1" t="str">
        <f t="shared" si="5"/>
        <v>21-Jul</v>
      </c>
      <c r="U93" s="10">
        <f>IF(AND(A93&lt;=Portfolio!$J$5,A93&gt;=Holdings!$G$24),O93,0)</f>
        <v>-1.3389826278128569E-2</v>
      </c>
      <c r="V93" s="12">
        <f>IF(AND(A93&gt;Holdings!$G$24,A93&lt;=Portfolio!$J$5),L93,"")</f>
        <v>-7.5130856167002769E-3</v>
      </c>
      <c r="W93" s="12">
        <f>IF(AND(A93&gt;Holdings!$G$24,A93&lt;=Portfolio!$J$5),Q93,"")</f>
        <v>-8.105364015276062E-3</v>
      </c>
    </row>
    <row r="94" spans="1:23" ht="19.95" customHeight="1" x14ac:dyDescent="0.3">
      <c r="A94" s="7">
        <v>46225</v>
      </c>
      <c r="B94" s="1">
        <f>SUMIFS(Ledger!$J$7:$J$1006,Ledger!$C$7:$C$1006,Portfolio!$C$5,Ledger!$E$7:$E$1006,History!B$6,Ledger!$B$7:$B$1006,"&lt;="&amp;$A94)</f>
        <v>100</v>
      </c>
      <c r="C94" s="1">
        <f>SUMIFS(Ledger!$J$7:$J$1006,Ledger!$C$7:$C$1006,Portfolio!$C$5,Ledger!$E$7:$E$1006,History!C$6,Ledger!$B$7:$B$1006,"&lt;="&amp;$A94)</f>
        <v>200</v>
      </c>
      <c r="D94" s="1">
        <f>SUMIFS(Ledger!$J$7:$J$1006,Ledger!$C$7:$C$1006,Portfolio!$C$5,Ledger!$E$7:$E$1006,History!D$6,Ledger!$B$7:$B$1006,"&lt;="&amp;$A94)</f>
        <v>80</v>
      </c>
      <c r="E94" s="1">
        <f>SUMIFS(Ledger!$J$7:$J$1006,Ledger!$C$7:$C$1006,Portfolio!$C$5,Ledger!$E$7:$E$1006,History!E$6,Ledger!$B$7:$B$1006,"&lt;="&amp;$A94)</f>
        <v>130</v>
      </c>
      <c r="F94" s="1">
        <f>SUMIFS(Ledger!$J$7:$J$1006,Ledger!$C$7:$C$1006,Portfolio!$C$5,Ledger!$E$7:$E$1006,History!F$6,Ledger!$B$7:$B$1006,"&lt;="&amp;$A94)</f>
        <v>480</v>
      </c>
      <c r="G94" s="1">
        <f>SUMIFS(Ledger!$J$7:$J$1006,Ledger!$C$7:$C$1006,Portfolio!$C$5,Ledger!$E$7:$E$1006,History!G$6,Ledger!$B$7:$B$1006,"&lt;="&amp;$A94)</f>
        <v>600</v>
      </c>
      <c r="H94" s="8">
        <f>SUMIFS(Ledger!$K$7:$K$1006,Ledger!$C$7:$C$1006,Portfolio!$C$5,Ledger!$B$7:$B$1006,"&lt;="&amp;$A94)</f>
        <v>70366.488000000012</v>
      </c>
      <c r="I94" s="8">
        <f>IF(S94=6,SUMPRODUCT(B94:G94,History!B94:G94),NA())</f>
        <v>482856.25199999998</v>
      </c>
      <c r="J94" s="8">
        <f t="shared" si="4"/>
        <v>553222.74</v>
      </c>
      <c r="K94" s="8">
        <f>SUMIFS(Ledger!$L$7:$L$1006,Ledger!$C$7:$C$1006,Portfolio!$C$5,Ledger!$B$7:$B$1006,$A94)</f>
        <v>0</v>
      </c>
      <c r="L94" s="10">
        <f>IF(A94&lt;Holdings!$G$24,"",IF(A94=Holdings!$G$24,IF(K94&gt;0,J94/K94-1,NA()),IF(J93&gt;0,(J94-K94)/J93-1,NA())))</f>
        <v>-1.9038604901676637E-3</v>
      </c>
      <c r="M94" s="11">
        <f>IF(A94&lt;Holdings!$G$24,"",IF(A94=Holdings!$G$24,100*(1+L94),M93*(1+L94)))</f>
        <v>100.42666035475385</v>
      </c>
      <c r="N94" s="11">
        <f>IF(A94&lt;Holdings!$G$24,"",IF(A94=Holdings!$G$24,MAX(100,M94),MAX(N93,M94)))</f>
        <v>101.98376835638526</v>
      </c>
      <c r="O94" s="10">
        <f>IF(A94&lt;Holdings!$G$24,"",M94/N94-1)</f>
        <v>-1.5268194407075164E-2</v>
      </c>
      <c r="P94" s="11">
        <f>IF(A94&lt;Holdings!$G$24,"",IF(History!H94&gt;0,History!H94/INDEX(History!$H$7:$H$136,MATCH(Holdings!$G$24,History!$A$7:$A$136,0))*100,NA()))</f>
        <v>96.453767100000007</v>
      </c>
      <c r="Q94" s="10">
        <f>IF(A94&lt;=Holdings!$G$24,"",P94/P93-1)</f>
        <v>-3.3620065510976405E-3</v>
      </c>
      <c r="R94" s="8">
        <f>IF(A94&gt;Portfolio!$J$5,0,-K94+IF(A94=Portfolio!$J$5,J94,0))</f>
        <v>0</v>
      </c>
      <c r="S94" s="1">
        <f>COUNTIFS(History!B94:G94,"&gt;0")</f>
        <v>6</v>
      </c>
      <c r="T94" s="1" t="str">
        <f t="shared" si="5"/>
        <v>22-Jul</v>
      </c>
      <c r="U94" s="10">
        <f>IF(AND(A94&lt;=Portfolio!$J$5,A94&gt;=Holdings!$G$24),O94,0)</f>
        <v>-1.5268194407075164E-2</v>
      </c>
      <c r="V94" s="12">
        <f>IF(AND(A94&gt;Holdings!$G$24,A94&lt;=Portfolio!$J$5),L94,"")</f>
        <v>-1.9038604901676637E-3</v>
      </c>
      <c r="W94" s="12">
        <f>IF(AND(A94&gt;Holdings!$G$24,A94&lt;=Portfolio!$J$5),Q94,"")</f>
        <v>-3.3620065510976405E-3</v>
      </c>
    </row>
    <row r="95" spans="1:23" ht="19.95" customHeight="1" x14ac:dyDescent="0.3">
      <c r="A95" s="7">
        <v>46226</v>
      </c>
      <c r="B95" s="1">
        <f>SUMIFS(Ledger!$J$7:$J$1006,Ledger!$C$7:$C$1006,Portfolio!$C$5,Ledger!$E$7:$E$1006,History!B$6,Ledger!$B$7:$B$1006,"&lt;="&amp;$A95)</f>
        <v>100</v>
      </c>
      <c r="C95" s="1">
        <f>SUMIFS(Ledger!$J$7:$J$1006,Ledger!$C$7:$C$1006,Portfolio!$C$5,Ledger!$E$7:$E$1006,History!C$6,Ledger!$B$7:$B$1006,"&lt;="&amp;$A95)</f>
        <v>200</v>
      </c>
      <c r="D95" s="1">
        <f>SUMIFS(Ledger!$J$7:$J$1006,Ledger!$C$7:$C$1006,Portfolio!$C$5,Ledger!$E$7:$E$1006,History!D$6,Ledger!$B$7:$B$1006,"&lt;="&amp;$A95)</f>
        <v>80</v>
      </c>
      <c r="E95" s="1">
        <f>SUMIFS(Ledger!$J$7:$J$1006,Ledger!$C$7:$C$1006,Portfolio!$C$5,Ledger!$E$7:$E$1006,History!E$6,Ledger!$B$7:$B$1006,"&lt;="&amp;$A95)</f>
        <v>130</v>
      </c>
      <c r="F95" s="1">
        <f>SUMIFS(Ledger!$J$7:$J$1006,Ledger!$C$7:$C$1006,Portfolio!$C$5,Ledger!$E$7:$E$1006,History!F$6,Ledger!$B$7:$B$1006,"&lt;="&amp;$A95)</f>
        <v>480</v>
      </c>
      <c r="G95" s="1">
        <f>SUMIFS(Ledger!$J$7:$J$1006,Ledger!$C$7:$C$1006,Portfolio!$C$5,Ledger!$E$7:$E$1006,History!G$6,Ledger!$B$7:$B$1006,"&lt;="&amp;$A95)</f>
        <v>600</v>
      </c>
      <c r="H95" s="8">
        <f>SUMIFS(Ledger!$K$7:$K$1006,Ledger!$C$7:$C$1006,Portfolio!$C$5,Ledger!$B$7:$B$1006,"&lt;="&amp;$A95)</f>
        <v>70366.488000000012</v>
      </c>
      <c r="I95" s="8">
        <f>IF(S95=6,SUMPRODUCT(B95:G95,History!B95:G95),NA())</f>
        <v>484602.95399999997</v>
      </c>
      <c r="J95" s="8">
        <f t="shared" si="4"/>
        <v>554969.44200000004</v>
      </c>
      <c r="K95" s="8">
        <f>SUMIFS(Ledger!$L$7:$L$1006,Ledger!$C$7:$C$1006,Portfolio!$C$5,Ledger!$B$7:$B$1006,$A95)</f>
        <v>0</v>
      </c>
      <c r="L95" s="10">
        <f>IF(A95&lt;Holdings!$G$24,"",IF(A95=Holdings!$G$24,IF(K95&gt;0,J95/K95-1,NA()),IF(J94&gt;0,(J95-K95)/J94-1,NA())))</f>
        <v>3.1573214072870837E-3</v>
      </c>
      <c r="M95" s="11">
        <f>IF(A95&lt;Holdings!$G$24,"",IF(A95=Holdings!$G$24,100*(1+L95),M94*(1+L95)))</f>
        <v>100.74373959935426</v>
      </c>
      <c r="N95" s="11">
        <f>IF(A95&lt;Holdings!$G$24,"",IF(A95=Holdings!$G$24,MAX(100,M95),MAX(N94,M95)))</f>
        <v>101.98376835638526</v>
      </c>
      <c r="O95" s="10">
        <f>IF(A95&lt;Holdings!$G$24,"",M95/N95-1)</f>
        <v>-1.215907959684015E-2</v>
      </c>
      <c r="P95" s="11">
        <f>IF(A95&lt;Holdings!$G$24,"",IF(History!H95&gt;0,History!H95/INDEX(History!$H$7:$H$136,MATCH(Holdings!$G$24,History!$A$7:$A$136,0))*100,NA()))</f>
        <v>96.586966199999992</v>
      </c>
      <c r="Q95" s="10">
        <f>IF(A95&lt;=Holdings!$G$24,"",P95/P94-1)</f>
        <v>1.3809631702812464E-3</v>
      </c>
      <c r="R95" s="8">
        <f>IF(A95&gt;Portfolio!$J$5,0,-K95+IF(A95=Portfolio!$J$5,J95,0))</f>
        <v>0</v>
      </c>
      <c r="S95" s="1">
        <f>COUNTIFS(History!B95:G95,"&gt;0")</f>
        <v>6</v>
      </c>
      <c r="T95" s="1" t="str">
        <f t="shared" si="5"/>
        <v>23-Jul</v>
      </c>
      <c r="U95" s="10">
        <f>IF(AND(A95&lt;=Portfolio!$J$5,A95&gt;=Holdings!$G$24),O95,0)</f>
        <v>-1.215907959684015E-2</v>
      </c>
      <c r="V95" s="12">
        <f>IF(AND(A95&gt;Holdings!$G$24,A95&lt;=Portfolio!$J$5),L95,"")</f>
        <v>3.1573214072870837E-3</v>
      </c>
      <c r="W95" s="12">
        <f>IF(AND(A95&gt;Holdings!$G$24,A95&lt;=Portfolio!$J$5),Q95,"")</f>
        <v>1.3809631702812464E-3</v>
      </c>
    </row>
    <row r="96" spans="1:23" ht="19.95" customHeight="1" x14ac:dyDescent="0.3">
      <c r="A96" s="7">
        <v>46227</v>
      </c>
      <c r="B96" s="1">
        <f>SUMIFS(Ledger!$J$7:$J$1006,Ledger!$C$7:$C$1006,Portfolio!$C$5,Ledger!$E$7:$E$1006,History!B$6,Ledger!$B$7:$B$1006,"&lt;="&amp;$A96)</f>
        <v>100</v>
      </c>
      <c r="C96" s="1">
        <f>SUMIFS(Ledger!$J$7:$J$1006,Ledger!$C$7:$C$1006,Portfolio!$C$5,Ledger!$E$7:$E$1006,History!C$6,Ledger!$B$7:$B$1006,"&lt;="&amp;$A96)</f>
        <v>200</v>
      </c>
      <c r="D96" s="1">
        <f>SUMIFS(Ledger!$J$7:$J$1006,Ledger!$C$7:$C$1006,Portfolio!$C$5,Ledger!$E$7:$E$1006,History!D$6,Ledger!$B$7:$B$1006,"&lt;="&amp;$A96)</f>
        <v>80</v>
      </c>
      <c r="E96" s="1">
        <f>SUMIFS(Ledger!$J$7:$J$1006,Ledger!$C$7:$C$1006,Portfolio!$C$5,Ledger!$E$7:$E$1006,History!E$6,Ledger!$B$7:$B$1006,"&lt;="&amp;$A96)</f>
        <v>130</v>
      </c>
      <c r="F96" s="1">
        <f>SUMIFS(Ledger!$J$7:$J$1006,Ledger!$C$7:$C$1006,Portfolio!$C$5,Ledger!$E$7:$E$1006,History!F$6,Ledger!$B$7:$B$1006,"&lt;="&amp;$A96)</f>
        <v>480</v>
      </c>
      <c r="G96" s="1">
        <f>SUMIFS(Ledger!$J$7:$J$1006,Ledger!$C$7:$C$1006,Portfolio!$C$5,Ledger!$E$7:$E$1006,History!G$6,Ledger!$B$7:$B$1006,"&lt;="&amp;$A96)</f>
        <v>600</v>
      </c>
      <c r="H96" s="8">
        <f>SUMIFS(Ledger!$K$7:$K$1006,Ledger!$C$7:$C$1006,Portfolio!$C$5,Ledger!$B$7:$B$1006,"&lt;="&amp;$A96)</f>
        <v>70466.488000000012</v>
      </c>
      <c r="I96" s="8">
        <f>IF(S96=6,SUMPRODUCT(B96:G96,History!B96:G96),NA())</f>
        <v>483461.05099999998</v>
      </c>
      <c r="J96" s="8">
        <f t="shared" si="4"/>
        <v>553927.53899999999</v>
      </c>
      <c r="K96" s="8">
        <f>SUMIFS(Ledger!$L$7:$L$1006,Ledger!$C$7:$C$1006,Portfolio!$C$5,Ledger!$B$7:$B$1006,$A96)</f>
        <v>0</v>
      </c>
      <c r="L96" s="10">
        <f>IF(A96&lt;Holdings!$G$24,"",IF(A96=Holdings!$G$24,IF(K96&gt;0,J96/K96-1,NA()),IF(J95&gt;0,(J96-K96)/J95-1,NA())))</f>
        <v>-1.8774060716663099E-3</v>
      </c>
      <c r="M96" s="11">
        <f>IF(A96&lt;Holdings!$G$24,"",IF(A96=Holdings!$G$24,100*(1+L96),M95*(1+L96)))</f>
        <v>100.55460269094806</v>
      </c>
      <c r="N96" s="11">
        <f>IF(A96&lt;Holdings!$G$24,"",IF(A96=Holdings!$G$24,MAX(100,M96),MAX(N95,M96)))</f>
        <v>101.98376835638526</v>
      </c>
      <c r="O96" s="10">
        <f>IF(A96&lt;Holdings!$G$24,"",M96/N96-1)</f>
        <v>-1.4013658138645524E-2</v>
      </c>
      <c r="P96" s="11">
        <f>IF(A96&lt;Holdings!$G$24,"",IF(History!H96&gt;0,History!H96/INDEX(History!$H$7:$H$136,MATCH(Holdings!$G$24,History!$A$7:$A$136,0))*100,NA()))</f>
        <v>96.276389600000002</v>
      </c>
      <c r="Q96" s="10">
        <f>IF(A96&lt;=Holdings!$G$24,"",P96/P95-1)</f>
        <v>-3.2155125294740516E-3</v>
      </c>
      <c r="R96" s="8">
        <f>IF(A96&gt;Portfolio!$J$5,0,-K96+IF(A96=Portfolio!$J$5,J96,0))</f>
        <v>0</v>
      </c>
      <c r="S96" s="1">
        <f>COUNTIFS(History!B96:G96,"&gt;0")</f>
        <v>6</v>
      </c>
      <c r="T96" s="1" t="str">
        <f t="shared" si="5"/>
        <v>24-Jul</v>
      </c>
      <c r="U96" s="10">
        <f>IF(AND(A96&lt;=Portfolio!$J$5,A96&gt;=Holdings!$G$24),O96,0)</f>
        <v>-1.4013658138645524E-2</v>
      </c>
      <c r="V96" s="12">
        <f>IF(AND(A96&gt;Holdings!$G$24,A96&lt;=Portfolio!$J$5),L96,"")</f>
        <v>-1.8774060716663099E-3</v>
      </c>
      <c r="W96" s="12">
        <f>IF(AND(A96&gt;Holdings!$G$24,A96&lt;=Portfolio!$J$5),Q96,"")</f>
        <v>-3.2155125294740516E-3</v>
      </c>
    </row>
    <row r="97" spans="1:23" ht="19.95" customHeight="1" x14ac:dyDescent="0.3">
      <c r="A97" s="7">
        <v>46230</v>
      </c>
      <c r="B97" s="1">
        <f>SUMIFS(Ledger!$J$7:$J$1006,Ledger!$C$7:$C$1006,Portfolio!$C$5,Ledger!$E$7:$E$1006,History!B$6,Ledger!$B$7:$B$1006,"&lt;="&amp;$A97)</f>
        <v>100</v>
      </c>
      <c r="C97" s="1">
        <f>SUMIFS(Ledger!$J$7:$J$1006,Ledger!$C$7:$C$1006,Portfolio!$C$5,Ledger!$E$7:$E$1006,History!C$6,Ledger!$B$7:$B$1006,"&lt;="&amp;$A97)</f>
        <v>200</v>
      </c>
      <c r="D97" s="1">
        <f>SUMIFS(Ledger!$J$7:$J$1006,Ledger!$C$7:$C$1006,Portfolio!$C$5,Ledger!$E$7:$E$1006,History!D$6,Ledger!$B$7:$B$1006,"&lt;="&amp;$A97)</f>
        <v>80</v>
      </c>
      <c r="E97" s="1">
        <f>SUMIFS(Ledger!$J$7:$J$1006,Ledger!$C$7:$C$1006,Portfolio!$C$5,Ledger!$E$7:$E$1006,History!E$6,Ledger!$B$7:$B$1006,"&lt;="&amp;$A97)</f>
        <v>130</v>
      </c>
      <c r="F97" s="1">
        <f>SUMIFS(Ledger!$J$7:$J$1006,Ledger!$C$7:$C$1006,Portfolio!$C$5,Ledger!$E$7:$E$1006,History!F$6,Ledger!$B$7:$B$1006,"&lt;="&amp;$A97)</f>
        <v>480</v>
      </c>
      <c r="G97" s="1">
        <f>SUMIFS(Ledger!$J$7:$J$1006,Ledger!$C$7:$C$1006,Portfolio!$C$5,Ledger!$E$7:$E$1006,History!G$6,Ledger!$B$7:$B$1006,"&lt;="&amp;$A97)</f>
        <v>600</v>
      </c>
      <c r="H97" s="8">
        <f>SUMIFS(Ledger!$K$7:$K$1006,Ledger!$C$7:$C$1006,Portfolio!$C$5,Ledger!$B$7:$B$1006,"&lt;="&amp;$A97)</f>
        <v>70466.488000000012</v>
      </c>
      <c r="I97" s="8">
        <f>IF(S97=6,SUMPRODUCT(B97:G97,History!B97:G97),NA())</f>
        <v>485944.239</v>
      </c>
      <c r="J97" s="8">
        <f t="shared" si="4"/>
        <v>556410.72699999996</v>
      </c>
      <c r="K97" s="8">
        <f>SUMIFS(Ledger!$L$7:$L$1006,Ledger!$C$7:$C$1006,Portfolio!$C$5,Ledger!$B$7:$B$1006,$A97)</f>
        <v>0</v>
      </c>
      <c r="L97" s="10">
        <f>IF(A97&lt;Holdings!$G$24,"",IF(A97=Holdings!$G$24,IF(K97&gt;0,J97/K97-1,NA()),IF(J96&gt;0,(J97-K97)/J96-1,NA())))</f>
        <v>4.4828751509318199E-3</v>
      </c>
      <c r="M97" s="11">
        <f>IF(A97&lt;Holdings!$G$24,"",IF(A97=Holdings!$G$24,100*(1+L97),M96*(1+L97)))</f>
        <v>101.00537642066313</v>
      </c>
      <c r="N97" s="11">
        <f>IF(A97&lt;Holdings!$G$24,"",IF(A97=Holdings!$G$24,MAX(100,M97),MAX(N96,M97)))</f>
        <v>101.98376835638526</v>
      </c>
      <c r="O97" s="10">
        <f>IF(A97&lt;Holdings!$G$24,"",M97/N97-1)</f>
        <v>-9.593604467557082E-3</v>
      </c>
      <c r="P97" s="11">
        <f>IF(A97&lt;Holdings!$G$24,"",IF(History!H97&gt;0,History!H97/INDEX(History!$H$7:$H$136,MATCH(Holdings!$G$24,History!$A$7:$A$136,0))*100,NA()))</f>
        <v>96.774128899999994</v>
      </c>
      <c r="Q97" s="10">
        <f>IF(A97&lt;=Holdings!$G$24,"",P97/P96-1)</f>
        <v>5.169899931519506E-3</v>
      </c>
      <c r="R97" s="8">
        <f>IF(A97&gt;Portfolio!$J$5,0,-K97+IF(A97=Portfolio!$J$5,J97,0))</f>
        <v>0</v>
      </c>
      <c r="S97" s="1">
        <f>COUNTIFS(History!B97:G97,"&gt;0")</f>
        <v>6</v>
      </c>
      <c r="T97" s="1" t="str">
        <f t="shared" si="5"/>
        <v>27-Jul</v>
      </c>
      <c r="U97" s="10">
        <f>IF(AND(A97&lt;=Portfolio!$J$5,A97&gt;=Holdings!$G$24),O97,0)</f>
        <v>-9.593604467557082E-3</v>
      </c>
      <c r="V97" s="12">
        <f>IF(AND(A97&gt;Holdings!$G$24,A97&lt;=Portfolio!$J$5),L97,"")</f>
        <v>4.4828751509318199E-3</v>
      </c>
      <c r="W97" s="12">
        <f>IF(AND(A97&gt;Holdings!$G$24,A97&lt;=Portfolio!$J$5),Q97,"")</f>
        <v>5.169899931519506E-3</v>
      </c>
    </row>
    <row r="98" spans="1:23" ht="19.95" customHeight="1" x14ac:dyDescent="0.3">
      <c r="A98" s="7">
        <v>46231</v>
      </c>
      <c r="B98" s="1">
        <f>SUMIFS(Ledger!$J$7:$J$1006,Ledger!$C$7:$C$1006,Portfolio!$C$5,Ledger!$E$7:$E$1006,History!B$6,Ledger!$B$7:$B$1006,"&lt;="&amp;$A98)</f>
        <v>100</v>
      </c>
      <c r="C98" s="1">
        <f>SUMIFS(Ledger!$J$7:$J$1006,Ledger!$C$7:$C$1006,Portfolio!$C$5,Ledger!$E$7:$E$1006,History!C$6,Ledger!$B$7:$B$1006,"&lt;="&amp;$A98)</f>
        <v>200</v>
      </c>
      <c r="D98" s="1">
        <f>SUMIFS(Ledger!$J$7:$J$1006,Ledger!$C$7:$C$1006,Portfolio!$C$5,Ledger!$E$7:$E$1006,History!D$6,Ledger!$B$7:$B$1006,"&lt;="&amp;$A98)</f>
        <v>80</v>
      </c>
      <c r="E98" s="1">
        <f>SUMIFS(Ledger!$J$7:$J$1006,Ledger!$C$7:$C$1006,Portfolio!$C$5,Ledger!$E$7:$E$1006,History!E$6,Ledger!$B$7:$B$1006,"&lt;="&amp;$A98)</f>
        <v>130</v>
      </c>
      <c r="F98" s="1">
        <f>SUMIFS(Ledger!$J$7:$J$1006,Ledger!$C$7:$C$1006,Portfolio!$C$5,Ledger!$E$7:$E$1006,History!F$6,Ledger!$B$7:$B$1006,"&lt;="&amp;$A98)</f>
        <v>480</v>
      </c>
      <c r="G98" s="1">
        <f>SUMIFS(Ledger!$J$7:$J$1006,Ledger!$C$7:$C$1006,Portfolio!$C$5,Ledger!$E$7:$E$1006,History!G$6,Ledger!$B$7:$B$1006,"&lt;="&amp;$A98)</f>
        <v>600</v>
      </c>
      <c r="H98" s="8">
        <f>SUMIFS(Ledger!$K$7:$K$1006,Ledger!$C$7:$C$1006,Portfolio!$C$5,Ledger!$B$7:$B$1006,"&lt;="&amp;$A98)</f>
        <v>70406.488000000012</v>
      </c>
      <c r="I98" s="8">
        <f>IF(S98=6,SUMPRODUCT(B98:G98,History!B98:G98),NA())</f>
        <v>484496.38699999999</v>
      </c>
      <c r="J98" s="8">
        <f t="shared" si="4"/>
        <v>554902.875</v>
      </c>
      <c r="K98" s="8">
        <f>SUMIFS(Ledger!$L$7:$L$1006,Ledger!$C$7:$C$1006,Portfolio!$C$5,Ledger!$B$7:$B$1006,$A98)</f>
        <v>0</v>
      </c>
      <c r="L98" s="10">
        <f>IF(A98&lt;Holdings!$G$24,"",IF(A98=Holdings!$G$24,IF(K98&gt;0,J98/K98-1,NA()),IF(J97&gt;0,(J98-K98)/J97-1,NA())))</f>
        <v>-2.7099621319844891E-3</v>
      </c>
      <c r="M98" s="11">
        <f>IF(A98&lt;Holdings!$G$24,"",IF(A98=Holdings!$G$24,100*(1+L98),M97*(1+L98)))</f>
        <v>100.73165567543629</v>
      </c>
      <c r="N98" s="11">
        <f>IF(A98&lt;Holdings!$G$24,"",IF(A98=Holdings!$G$24,MAX(100,M98),MAX(N97,M98)))</f>
        <v>101.98376835638526</v>
      </c>
      <c r="O98" s="10">
        <f>IF(A98&lt;Holdings!$G$24,"",M98/N98-1)</f>
        <v>-1.2277568294725372E-2</v>
      </c>
      <c r="P98" s="11">
        <f>IF(A98&lt;Holdings!$G$24,"",IF(History!H98&gt;0,History!H98/INDEX(History!$H$7:$H$136,MATCH(Holdings!$G$24,History!$A$7:$A$136,0))*100,NA()))</f>
        <v>95.883526900000007</v>
      </c>
      <c r="Q98" s="10">
        <f>IF(A98&lt;=Holdings!$G$24,"",P98/P97-1)</f>
        <v>-9.2028934811727581E-3</v>
      </c>
      <c r="R98" s="8">
        <f>IF(A98&gt;Portfolio!$J$5,0,-K98+IF(A98=Portfolio!$J$5,J98,0))</f>
        <v>0</v>
      </c>
      <c r="S98" s="1">
        <f>COUNTIFS(History!B98:G98,"&gt;0")</f>
        <v>6</v>
      </c>
      <c r="T98" s="1" t="str">
        <f t="shared" si="5"/>
        <v>28-Jul</v>
      </c>
      <c r="U98" s="10">
        <f>IF(AND(A98&lt;=Portfolio!$J$5,A98&gt;=Holdings!$G$24),O98,0)</f>
        <v>-1.2277568294725372E-2</v>
      </c>
      <c r="V98" s="12">
        <f>IF(AND(A98&gt;Holdings!$G$24,A98&lt;=Portfolio!$J$5),L98,"")</f>
        <v>-2.7099621319844891E-3</v>
      </c>
      <c r="W98" s="12">
        <f>IF(AND(A98&gt;Holdings!$G$24,A98&lt;=Portfolio!$J$5),Q98,"")</f>
        <v>-9.2028934811727581E-3</v>
      </c>
    </row>
    <row r="99" spans="1:23" ht="19.95" customHeight="1" x14ac:dyDescent="0.3">
      <c r="A99" s="7">
        <v>46232</v>
      </c>
      <c r="B99" s="1">
        <f>SUMIFS(Ledger!$J$7:$J$1006,Ledger!$C$7:$C$1006,Portfolio!$C$5,Ledger!$E$7:$E$1006,History!B$6,Ledger!$B$7:$B$1006,"&lt;="&amp;$A99)</f>
        <v>100</v>
      </c>
      <c r="C99" s="1">
        <f>SUMIFS(Ledger!$J$7:$J$1006,Ledger!$C$7:$C$1006,Portfolio!$C$5,Ledger!$E$7:$E$1006,History!C$6,Ledger!$B$7:$B$1006,"&lt;="&amp;$A99)</f>
        <v>200</v>
      </c>
      <c r="D99" s="1">
        <f>SUMIFS(Ledger!$J$7:$J$1006,Ledger!$C$7:$C$1006,Portfolio!$C$5,Ledger!$E$7:$E$1006,History!D$6,Ledger!$B$7:$B$1006,"&lt;="&amp;$A99)</f>
        <v>80</v>
      </c>
      <c r="E99" s="1">
        <f>SUMIFS(Ledger!$J$7:$J$1006,Ledger!$C$7:$C$1006,Portfolio!$C$5,Ledger!$E$7:$E$1006,History!E$6,Ledger!$B$7:$B$1006,"&lt;="&amp;$A99)</f>
        <v>130</v>
      </c>
      <c r="F99" s="1">
        <f>SUMIFS(Ledger!$J$7:$J$1006,Ledger!$C$7:$C$1006,Portfolio!$C$5,Ledger!$E$7:$E$1006,History!F$6,Ledger!$B$7:$B$1006,"&lt;="&amp;$A99)</f>
        <v>480</v>
      </c>
      <c r="G99" s="1">
        <f>SUMIFS(Ledger!$J$7:$J$1006,Ledger!$C$7:$C$1006,Portfolio!$C$5,Ledger!$E$7:$E$1006,History!G$6,Ledger!$B$7:$B$1006,"&lt;="&amp;$A99)</f>
        <v>600</v>
      </c>
      <c r="H99" s="8">
        <f>SUMIFS(Ledger!$K$7:$K$1006,Ledger!$C$7:$C$1006,Portfolio!$C$5,Ledger!$B$7:$B$1006,"&lt;="&amp;$A99)</f>
        <v>70406.488000000012</v>
      </c>
      <c r="I99" s="8">
        <f>IF(S99=6,SUMPRODUCT(B99:G99,History!B99:G99),NA())</f>
        <v>484581.435</v>
      </c>
      <c r="J99" s="8">
        <f t="shared" si="4"/>
        <v>554987.92299999995</v>
      </c>
      <c r="K99" s="8">
        <f>SUMIFS(Ledger!$L$7:$L$1006,Ledger!$C$7:$C$1006,Portfolio!$C$5,Ledger!$B$7:$B$1006,$A99)</f>
        <v>0</v>
      </c>
      <c r="L99" s="10">
        <f>IF(A99&lt;Holdings!$G$24,"",IF(A99=Holdings!$G$24,IF(K99&gt;0,J99/K99-1,NA()),IF(J98&gt;0,(J99-K99)/J98-1,NA())))</f>
        <v>1.5326646127022947E-4</v>
      </c>
      <c r="M99" s="11">
        <f>IF(A99&lt;Holdings!$G$24,"",IF(A99=Holdings!$G$24,100*(1+L99),M98*(1+L99)))</f>
        <v>100.74709445983954</v>
      </c>
      <c r="N99" s="11">
        <f>IF(A99&lt;Holdings!$G$24,"",IF(A99=Holdings!$G$24,MAX(100,M99),MAX(N98,M99)))</f>
        <v>101.98376835638526</v>
      </c>
      <c r="O99" s="10">
        <f>IF(A99&lt;Holdings!$G$24,"",M99/N99-1)</f>
        <v>-1.2126183572900739E-2</v>
      </c>
      <c r="P99" s="11">
        <f>IF(A99&lt;Holdings!$G$24,"",IF(History!H99&gt;0,History!H99/INDEX(History!$H$7:$H$136,MATCH(Holdings!$G$24,History!$A$7:$A$136,0))*100,NA()))</f>
        <v>96.13583220000001</v>
      </c>
      <c r="Q99" s="10">
        <f>IF(A99&lt;=Holdings!$G$24,"",P99/P98-1)</f>
        <v>2.6313727514752916E-3</v>
      </c>
      <c r="R99" s="8">
        <f>IF(A99&gt;Portfolio!$J$5,0,-K99+IF(A99=Portfolio!$J$5,J99,0))</f>
        <v>0</v>
      </c>
      <c r="S99" s="1">
        <f>COUNTIFS(History!B99:G99,"&gt;0")</f>
        <v>6</v>
      </c>
      <c r="T99" s="1" t="str">
        <f t="shared" si="5"/>
        <v>29-Jul</v>
      </c>
      <c r="U99" s="10">
        <f>IF(AND(A99&lt;=Portfolio!$J$5,A99&gt;=Holdings!$G$24),O99,0)</f>
        <v>-1.2126183572900739E-2</v>
      </c>
      <c r="V99" s="12">
        <f>IF(AND(A99&gt;Holdings!$G$24,A99&lt;=Portfolio!$J$5),L99,"")</f>
        <v>1.5326646127022947E-4</v>
      </c>
      <c r="W99" s="12">
        <f>IF(AND(A99&gt;Holdings!$G$24,A99&lt;=Portfolio!$J$5),Q99,"")</f>
        <v>2.6313727514752916E-3</v>
      </c>
    </row>
    <row r="100" spans="1:23" ht="19.95" customHeight="1" x14ac:dyDescent="0.3">
      <c r="A100" s="7">
        <v>46233</v>
      </c>
      <c r="B100" s="1">
        <f>SUMIFS(Ledger!$J$7:$J$1006,Ledger!$C$7:$C$1006,Portfolio!$C$5,Ledger!$E$7:$E$1006,History!B$6,Ledger!$B$7:$B$1006,"&lt;="&amp;$A100)</f>
        <v>100</v>
      </c>
      <c r="C100" s="1">
        <f>SUMIFS(Ledger!$J$7:$J$1006,Ledger!$C$7:$C$1006,Portfolio!$C$5,Ledger!$E$7:$E$1006,History!C$6,Ledger!$B$7:$B$1006,"&lt;="&amp;$A100)</f>
        <v>200</v>
      </c>
      <c r="D100" s="1">
        <f>SUMIFS(Ledger!$J$7:$J$1006,Ledger!$C$7:$C$1006,Portfolio!$C$5,Ledger!$E$7:$E$1006,History!D$6,Ledger!$B$7:$B$1006,"&lt;="&amp;$A100)</f>
        <v>80</v>
      </c>
      <c r="E100" s="1">
        <f>SUMIFS(Ledger!$J$7:$J$1006,Ledger!$C$7:$C$1006,Portfolio!$C$5,Ledger!$E$7:$E$1006,History!E$6,Ledger!$B$7:$B$1006,"&lt;="&amp;$A100)</f>
        <v>130</v>
      </c>
      <c r="F100" s="1">
        <f>SUMIFS(Ledger!$J$7:$J$1006,Ledger!$C$7:$C$1006,Portfolio!$C$5,Ledger!$E$7:$E$1006,History!F$6,Ledger!$B$7:$B$1006,"&lt;="&amp;$A100)</f>
        <v>480</v>
      </c>
      <c r="G100" s="1">
        <f>SUMIFS(Ledger!$J$7:$J$1006,Ledger!$C$7:$C$1006,Portfolio!$C$5,Ledger!$E$7:$E$1006,History!G$6,Ledger!$B$7:$B$1006,"&lt;="&amp;$A100)</f>
        <v>600</v>
      </c>
      <c r="H100" s="8">
        <f>SUMIFS(Ledger!$K$7:$K$1006,Ledger!$C$7:$C$1006,Portfolio!$C$5,Ledger!$B$7:$B$1006,"&lt;="&amp;$A100)</f>
        <v>70406.488000000012</v>
      </c>
      <c r="I100" s="8">
        <f>IF(S100=6,SUMPRODUCT(B100:G100,History!B100:G100),NA())</f>
        <v>484520.15100000001</v>
      </c>
      <c r="J100" s="8">
        <f t="shared" si="4"/>
        <v>554926.63899999997</v>
      </c>
      <c r="K100" s="8">
        <f>SUMIFS(Ledger!$L$7:$L$1006,Ledger!$C$7:$C$1006,Portfolio!$C$5,Ledger!$B$7:$B$1006,$A100)</f>
        <v>0</v>
      </c>
      <c r="L100" s="10">
        <f>IF(A100&lt;Holdings!$G$24,"",IF(A100=Holdings!$G$24,IF(K100&gt;0,J100/K100-1,NA()),IF(J99&gt;0,(J100-K100)/J99-1,NA())))</f>
        <v>-1.104240244881316E-4</v>
      </c>
      <c r="M100" s="11">
        <f>IF(A100&lt;Holdings!$G$24,"",IF(A100=Holdings!$G$24,100*(1+L100),M99*(1+L100)))</f>
        <v>100.7359695602138</v>
      </c>
      <c r="N100" s="11">
        <f>IF(A100&lt;Holdings!$G$24,"",IF(A100=Holdings!$G$24,MAX(100,M100),MAX(N99,M100)))</f>
        <v>101.98376835638526</v>
      </c>
      <c r="O100" s="10">
        <f>IF(A100&lt;Holdings!$G$24,"",M100/N100-1)</f>
        <v>-1.2235268575397029E-2</v>
      </c>
      <c r="P100" s="11">
        <f>IF(A100&lt;Holdings!$G$24,"",IF(History!H100&gt;0,History!H100/INDEX(History!$H$7:$H$136,MATCH(Holdings!$G$24,History!$A$7:$A$136,0))*100,NA()))</f>
        <v>96.514286300000009</v>
      </c>
      <c r="Q100" s="10">
        <f>IF(A100&lt;=Holdings!$G$24,"",P100/P99-1)</f>
        <v>3.936660154068905E-3</v>
      </c>
      <c r="R100" s="8">
        <f>IF(A100&gt;Portfolio!$J$5,0,-K100+IF(A100=Portfolio!$J$5,J100,0))</f>
        <v>0</v>
      </c>
      <c r="S100" s="1">
        <f>COUNTIFS(History!B100:G100,"&gt;0")</f>
        <v>6</v>
      </c>
      <c r="T100" s="1" t="str">
        <f t="shared" si="5"/>
        <v>30-Jul</v>
      </c>
      <c r="U100" s="10">
        <f>IF(AND(A100&lt;=Portfolio!$J$5,A100&gt;=Holdings!$G$24),O100,0)</f>
        <v>-1.2235268575397029E-2</v>
      </c>
      <c r="V100" s="12">
        <f>IF(AND(A100&gt;Holdings!$G$24,A100&lt;=Portfolio!$J$5),L100,"")</f>
        <v>-1.104240244881316E-4</v>
      </c>
      <c r="W100" s="12">
        <f>IF(AND(A100&gt;Holdings!$G$24,A100&lt;=Portfolio!$J$5),Q100,"")</f>
        <v>3.936660154068905E-3</v>
      </c>
    </row>
    <row r="101" spans="1:23" ht="19.95" customHeight="1" x14ac:dyDescent="0.3">
      <c r="A101" s="7">
        <v>46234</v>
      </c>
      <c r="B101" s="1">
        <f>SUMIFS(Ledger!$J$7:$J$1006,Ledger!$C$7:$C$1006,Portfolio!$C$5,Ledger!$E$7:$E$1006,History!B$6,Ledger!$B$7:$B$1006,"&lt;="&amp;$A101)</f>
        <v>100</v>
      </c>
      <c r="C101" s="1">
        <f>SUMIFS(Ledger!$J$7:$J$1006,Ledger!$C$7:$C$1006,Portfolio!$C$5,Ledger!$E$7:$E$1006,History!C$6,Ledger!$B$7:$B$1006,"&lt;="&amp;$A101)</f>
        <v>200</v>
      </c>
      <c r="D101" s="1">
        <f>SUMIFS(Ledger!$J$7:$J$1006,Ledger!$C$7:$C$1006,Portfolio!$C$5,Ledger!$E$7:$E$1006,History!D$6,Ledger!$B$7:$B$1006,"&lt;="&amp;$A101)</f>
        <v>80</v>
      </c>
      <c r="E101" s="1">
        <f>SUMIFS(Ledger!$J$7:$J$1006,Ledger!$C$7:$C$1006,Portfolio!$C$5,Ledger!$E$7:$E$1006,History!E$6,Ledger!$B$7:$B$1006,"&lt;="&amp;$A101)</f>
        <v>130</v>
      </c>
      <c r="F101" s="1">
        <f>SUMIFS(Ledger!$J$7:$J$1006,Ledger!$C$7:$C$1006,Portfolio!$C$5,Ledger!$E$7:$E$1006,History!F$6,Ledger!$B$7:$B$1006,"&lt;="&amp;$A101)</f>
        <v>480</v>
      </c>
      <c r="G101" s="1">
        <f>SUMIFS(Ledger!$J$7:$J$1006,Ledger!$C$7:$C$1006,Portfolio!$C$5,Ledger!$E$7:$E$1006,History!G$6,Ledger!$B$7:$B$1006,"&lt;="&amp;$A101)</f>
        <v>600</v>
      </c>
      <c r="H101" s="8">
        <f>SUMIFS(Ledger!$K$7:$K$1006,Ledger!$C$7:$C$1006,Portfolio!$C$5,Ledger!$B$7:$B$1006,"&lt;="&amp;$A101)</f>
        <v>55406.488000000012</v>
      </c>
      <c r="I101" s="8">
        <f>IF(S101=6,SUMPRODUCT(B101:G101,History!B101:G101),NA())</f>
        <v>489809.56599999999</v>
      </c>
      <c r="J101" s="8">
        <f t="shared" si="4"/>
        <v>545216.054</v>
      </c>
      <c r="K101" s="8">
        <f>SUMIFS(Ledger!$L$7:$L$1006,Ledger!$C$7:$C$1006,Portfolio!$C$5,Ledger!$B$7:$B$1006,$A101)</f>
        <v>-15000</v>
      </c>
      <c r="L101" s="10">
        <f>IF(A101&lt;Holdings!$G$24,"",IF(A101=Holdings!$G$24,IF(K101&gt;0,J101/K101-1,NA()),IF(J100&gt;0,(J101-K101)/J100-1,NA())))</f>
        <v>9.5317374014189937E-3</v>
      </c>
      <c r="M101" s="11">
        <f>IF(A101&lt;Holdings!$G$24,"",IF(A101=Holdings!$G$24,100*(1+L101),M100*(1+L101)))</f>
        <v>101.69615836893909</v>
      </c>
      <c r="N101" s="11">
        <f>IF(A101&lt;Holdings!$G$24,"",IF(A101=Holdings!$G$24,MAX(100,M101),MAX(N100,M101)))</f>
        <v>101.98376835638526</v>
      </c>
      <c r="O101" s="10">
        <f>IF(A101&lt;Holdings!$G$24,"",M101/N101-1)</f>
        <v>-2.8201545410746487E-3</v>
      </c>
      <c r="P101" s="11">
        <f>IF(A101&lt;Holdings!$G$24,"",IF(History!H101&gt;0,History!H101/INDEX(History!$H$7:$H$136,MATCH(Holdings!$G$24,History!$A$7:$A$136,0))*100,NA()))</f>
        <v>97.485243300000008</v>
      </c>
      <c r="Q101" s="10">
        <f>IF(A101&lt;=Holdings!$G$24,"",P101/P100-1)</f>
        <v>1.00602412059696E-2</v>
      </c>
      <c r="R101" s="8">
        <f>IF(A101&gt;Portfolio!$J$5,0,-K101+IF(A101=Portfolio!$J$5,J101,0))</f>
        <v>15000</v>
      </c>
      <c r="S101" s="1">
        <f>COUNTIFS(History!B101:G101,"&gt;0")</f>
        <v>6</v>
      </c>
      <c r="T101" s="1" t="str">
        <f t="shared" si="5"/>
        <v>31-Jul</v>
      </c>
      <c r="U101" s="10">
        <f>IF(AND(A101&lt;=Portfolio!$J$5,A101&gt;=Holdings!$G$24),O101,0)</f>
        <v>-2.8201545410746487E-3</v>
      </c>
      <c r="V101" s="12">
        <f>IF(AND(A101&gt;Holdings!$G$24,A101&lt;=Portfolio!$J$5),L101,"")</f>
        <v>9.5317374014189937E-3</v>
      </c>
      <c r="W101" s="12">
        <f>IF(AND(A101&gt;Holdings!$G$24,A101&lt;=Portfolio!$J$5),Q101,"")</f>
        <v>1.00602412059696E-2</v>
      </c>
    </row>
    <row r="102" spans="1:23" ht="19.95" customHeight="1" x14ac:dyDescent="0.3">
      <c r="A102" s="7">
        <v>46237</v>
      </c>
      <c r="B102" s="1">
        <f>SUMIFS(Ledger!$J$7:$J$1006,Ledger!$C$7:$C$1006,Portfolio!$C$5,Ledger!$E$7:$E$1006,History!B$6,Ledger!$B$7:$B$1006,"&lt;="&amp;$A102)</f>
        <v>100</v>
      </c>
      <c r="C102" s="1">
        <f>SUMIFS(Ledger!$J$7:$J$1006,Ledger!$C$7:$C$1006,Portfolio!$C$5,Ledger!$E$7:$E$1006,History!C$6,Ledger!$B$7:$B$1006,"&lt;="&amp;$A102)</f>
        <v>200</v>
      </c>
      <c r="D102" s="1">
        <f>SUMIFS(Ledger!$J$7:$J$1006,Ledger!$C$7:$C$1006,Portfolio!$C$5,Ledger!$E$7:$E$1006,History!D$6,Ledger!$B$7:$B$1006,"&lt;="&amp;$A102)</f>
        <v>80</v>
      </c>
      <c r="E102" s="1">
        <f>SUMIFS(Ledger!$J$7:$J$1006,Ledger!$C$7:$C$1006,Portfolio!$C$5,Ledger!$E$7:$E$1006,History!E$6,Ledger!$B$7:$B$1006,"&lt;="&amp;$A102)</f>
        <v>130</v>
      </c>
      <c r="F102" s="1">
        <f>SUMIFS(Ledger!$J$7:$J$1006,Ledger!$C$7:$C$1006,Portfolio!$C$5,Ledger!$E$7:$E$1006,History!F$6,Ledger!$B$7:$B$1006,"&lt;="&amp;$A102)</f>
        <v>480</v>
      </c>
      <c r="G102" s="1">
        <f>SUMIFS(Ledger!$J$7:$J$1006,Ledger!$C$7:$C$1006,Portfolio!$C$5,Ledger!$E$7:$E$1006,History!G$6,Ledger!$B$7:$B$1006,"&lt;="&amp;$A102)</f>
        <v>600</v>
      </c>
      <c r="H102" s="8">
        <f>SUMIFS(Ledger!$K$7:$K$1006,Ledger!$C$7:$C$1006,Portfolio!$C$5,Ledger!$B$7:$B$1006,"&lt;="&amp;$A102)</f>
        <v>55406.488000000012</v>
      </c>
      <c r="I102" s="8">
        <f>IF(S102=6,SUMPRODUCT(B102:G102,History!B102:G102),NA())</f>
        <v>489193.82699999999</v>
      </c>
      <c r="J102" s="8">
        <f t="shared" si="4"/>
        <v>544600.31499999994</v>
      </c>
      <c r="K102" s="8">
        <f>SUMIFS(Ledger!$L$7:$L$1006,Ledger!$C$7:$C$1006,Portfolio!$C$5,Ledger!$B$7:$B$1006,$A102)</f>
        <v>0</v>
      </c>
      <c r="L102" s="10">
        <f>IF(A102&lt;Holdings!$G$24,"",IF(A102=Holdings!$G$24,IF(K102&gt;0,J102/K102-1,NA()),IF(J101&gt;0,(J102-K102)/J101-1,NA())))</f>
        <v>-1.1293486233258099E-3</v>
      </c>
      <c r="M102" s="11">
        <f>IF(A102&lt;Holdings!$G$24,"",IF(A102=Holdings!$G$24,100*(1+L102),M101*(1+L102)))</f>
        <v>101.58130795248761</v>
      </c>
      <c r="N102" s="11">
        <f>IF(A102&lt;Holdings!$G$24,"",IF(A102=Holdings!$G$24,MAX(100,M102),MAX(N101,M102)))</f>
        <v>101.98376835638526</v>
      </c>
      <c r="O102" s="10">
        <f>IF(A102&lt;Holdings!$G$24,"",M102/N102-1)</f>
        <v>-3.9463182267519548E-3</v>
      </c>
      <c r="P102" s="11">
        <f>IF(A102&lt;Holdings!$G$24,"",IF(History!H102&gt;0,History!H102/INDEX(History!$H$7:$H$136,MATCH(Holdings!$G$24,History!$A$7:$A$136,0))*100,NA()))</f>
        <v>97.393716099999992</v>
      </c>
      <c r="Q102" s="10">
        <f>IF(A102&lt;=Holdings!$G$24,"",P102/P101-1)</f>
        <v>-9.3888261342645052E-4</v>
      </c>
      <c r="R102" s="8">
        <f>IF(A102&gt;Portfolio!$J$5,0,-K102+IF(A102=Portfolio!$J$5,J102,0))</f>
        <v>0</v>
      </c>
      <c r="S102" s="1">
        <f>COUNTIFS(History!B102:G102,"&gt;0")</f>
        <v>6</v>
      </c>
      <c r="T102" s="1" t="str">
        <f t="shared" si="5"/>
        <v>03-Aug</v>
      </c>
      <c r="U102" s="10">
        <f>IF(AND(A102&lt;=Portfolio!$J$5,A102&gt;=Holdings!$G$24),O102,0)</f>
        <v>-3.9463182267519548E-3</v>
      </c>
      <c r="V102" s="12">
        <f>IF(AND(A102&gt;Holdings!$G$24,A102&lt;=Portfolio!$J$5),L102,"")</f>
        <v>-1.1293486233258099E-3</v>
      </c>
      <c r="W102" s="12">
        <f>IF(AND(A102&gt;Holdings!$G$24,A102&lt;=Portfolio!$J$5),Q102,"")</f>
        <v>-9.3888261342645052E-4</v>
      </c>
    </row>
    <row r="103" spans="1:23" ht="19.95" customHeight="1" x14ac:dyDescent="0.3">
      <c r="A103" s="7">
        <v>46238</v>
      </c>
      <c r="B103" s="1">
        <f>SUMIFS(Ledger!$J$7:$J$1006,Ledger!$C$7:$C$1006,Portfolio!$C$5,Ledger!$E$7:$E$1006,History!B$6,Ledger!$B$7:$B$1006,"&lt;="&amp;$A103)</f>
        <v>100</v>
      </c>
      <c r="C103" s="1">
        <f>SUMIFS(Ledger!$J$7:$J$1006,Ledger!$C$7:$C$1006,Portfolio!$C$5,Ledger!$E$7:$E$1006,History!C$6,Ledger!$B$7:$B$1006,"&lt;="&amp;$A103)</f>
        <v>200</v>
      </c>
      <c r="D103" s="1">
        <f>SUMIFS(Ledger!$J$7:$J$1006,Ledger!$C$7:$C$1006,Portfolio!$C$5,Ledger!$E$7:$E$1006,History!D$6,Ledger!$B$7:$B$1006,"&lt;="&amp;$A103)</f>
        <v>80</v>
      </c>
      <c r="E103" s="1">
        <f>SUMIFS(Ledger!$J$7:$J$1006,Ledger!$C$7:$C$1006,Portfolio!$C$5,Ledger!$E$7:$E$1006,History!E$6,Ledger!$B$7:$B$1006,"&lt;="&amp;$A103)</f>
        <v>130</v>
      </c>
      <c r="F103" s="1">
        <f>SUMIFS(Ledger!$J$7:$J$1006,Ledger!$C$7:$C$1006,Portfolio!$C$5,Ledger!$E$7:$E$1006,History!F$6,Ledger!$B$7:$B$1006,"&lt;="&amp;$A103)</f>
        <v>480</v>
      </c>
      <c r="G103" s="1">
        <f>SUMIFS(Ledger!$J$7:$J$1006,Ledger!$C$7:$C$1006,Portfolio!$C$5,Ledger!$E$7:$E$1006,History!G$6,Ledger!$B$7:$B$1006,"&lt;="&amp;$A103)</f>
        <v>600</v>
      </c>
      <c r="H103" s="8">
        <f>SUMIFS(Ledger!$K$7:$K$1006,Ledger!$C$7:$C$1006,Portfolio!$C$5,Ledger!$B$7:$B$1006,"&lt;="&amp;$A103)</f>
        <v>55406.488000000012</v>
      </c>
      <c r="I103" s="8">
        <f>IF(S103=6,SUMPRODUCT(B103:G103,History!B103:G103),NA())</f>
        <v>486508.40900000004</v>
      </c>
      <c r="J103" s="8">
        <f t="shared" ref="J103:J134" si="6">SUM(H103:I103)</f>
        <v>541914.89700000011</v>
      </c>
      <c r="K103" s="8">
        <f>SUMIFS(Ledger!$L$7:$L$1006,Ledger!$C$7:$C$1006,Portfolio!$C$5,Ledger!$B$7:$B$1006,$A103)</f>
        <v>0</v>
      </c>
      <c r="L103" s="10">
        <f>IF(A103&lt;Holdings!$G$24,"",IF(A103=Holdings!$G$24,IF(K103&gt;0,J103/K103-1,NA()),IF(J102&gt;0,(J103-K103)/J102-1,NA())))</f>
        <v>-4.9309887013191389E-3</v>
      </c>
      <c r="M103" s="11">
        <f>IF(A103&lt;Holdings!$G$24,"",IF(A103=Holdings!$G$24,100*(1+L103),M102*(1+L103)))</f>
        <v>101.08041167070867</v>
      </c>
      <c r="N103" s="11">
        <f>IF(A103&lt;Holdings!$G$24,"",IF(A103=Holdings!$G$24,MAX(100,M103),MAX(N102,M103)))</f>
        <v>101.98376835638526</v>
      </c>
      <c r="O103" s="10">
        <f>IF(A103&lt;Holdings!$G$24,"",M103/N103-1)</f>
        <v>-8.8578476774830994E-3</v>
      </c>
      <c r="P103" s="11">
        <f>IF(A103&lt;Holdings!$G$24,"",IF(History!H103&gt;0,History!H103/INDEX(History!$H$7:$H$136,MATCH(Holdings!$G$24,History!$A$7:$A$136,0))*100,NA()))</f>
        <v>97.132630200000008</v>
      </c>
      <c r="Q103" s="10">
        <f>IF(A103&lt;=Holdings!$G$24,"",P103/P102-1)</f>
        <v>-2.6807263389756475E-3</v>
      </c>
      <c r="R103" s="8">
        <f>IF(A103&gt;Portfolio!$J$5,0,-K103+IF(A103=Portfolio!$J$5,J103,0))</f>
        <v>0</v>
      </c>
      <c r="S103" s="1">
        <f>COUNTIFS(History!B103:G103,"&gt;0")</f>
        <v>6</v>
      </c>
      <c r="T103" s="1" t="str">
        <f t="shared" ref="T103:T136" si="7">TEXT(A103,"dd-mmm")</f>
        <v>04-Aug</v>
      </c>
      <c r="U103" s="10">
        <f>IF(AND(A103&lt;=Portfolio!$J$5,A103&gt;=Holdings!$G$24),O103,0)</f>
        <v>-8.8578476774830994E-3</v>
      </c>
      <c r="V103" s="12">
        <f>IF(AND(A103&gt;Holdings!$G$24,A103&lt;=Portfolio!$J$5),L103,"")</f>
        <v>-4.9309887013191389E-3</v>
      </c>
      <c r="W103" s="12">
        <f>IF(AND(A103&gt;Holdings!$G$24,A103&lt;=Portfolio!$J$5),Q103,"")</f>
        <v>-2.6807263389756475E-3</v>
      </c>
    </row>
    <row r="104" spans="1:23" ht="19.95" customHeight="1" x14ac:dyDescent="0.3">
      <c r="A104" s="7">
        <v>46239</v>
      </c>
      <c r="B104" s="1">
        <f>SUMIFS(Ledger!$J$7:$J$1006,Ledger!$C$7:$C$1006,Portfolio!$C$5,Ledger!$E$7:$E$1006,History!B$6,Ledger!$B$7:$B$1006,"&lt;="&amp;$A104)</f>
        <v>100</v>
      </c>
      <c r="C104" s="1">
        <f>SUMIFS(Ledger!$J$7:$J$1006,Ledger!$C$7:$C$1006,Portfolio!$C$5,Ledger!$E$7:$E$1006,History!C$6,Ledger!$B$7:$B$1006,"&lt;="&amp;$A104)</f>
        <v>200</v>
      </c>
      <c r="D104" s="1">
        <f>SUMIFS(Ledger!$J$7:$J$1006,Ledger!$C$7:$C$1006,Portfolio!$C$5,Ledger!$E$7:$E$1006,History!D$6,Ledger!$B$7:$B$1006,"&lt;="&amp;$A104)</f>
        <v>80</v>
      </c>
      <c r="E104" s="1">
        <f>SUMIFS(Ledger!$J$7:$J$1006,Ledger!$C$7:$C$1006,Portfolio!$C$5,Ledger!$E$7:$E$1006,History!E$6,Ledger!$B$7:$B$1006,"&lt;="&amp;$A104)</f>
        <v>130</v>
      </c>
      <c r="F104" s="1">
        <f>SUMIFS(Ledger!$J$7:$J$1006,Ledger!$C$7:$C$1006,Portfolio!$C$5,Ledger!$E$7:$E$1006,History!F$6,Ledger!$B$7:$B$1006,"&lt;="&amp;$A104)</f>
        <v>480</v>
      </c>
      <c r="G104" s="1">
        <f>SUMIFS(Ledger!$J$7:$J$1006,Ledger!$C$7:$C$1006,Portfolio!$C$5,Ledger!$E$7:$E$1006,History!G$6,Ledger!$B$7:$B$1006,"&lt;="&amp;$A104)</f>
        <v>600</v>
      </c>
      <c r="H104" s="8">
        <f>SUMIFS(Ledger!$K$7:$K$1006,Ledger!$C$7:$C$1006,Portfolio!$C$5,Ledger!$B$7:$B$1006,"&lt;="&amp;$A104)</f>
        <v>55406.488000000012</v>
      </c>
      <c r="I104" s="8">
        <f>IF(S104=6,SUMPRODUCT(B104:G104,History!B104:G104),NA())</f>
        <v>493816.10099999997</v>
      </c>
      <c r="J104" s="8">
        <f t="shared" si="6"/>
        <v>549222.58899999992</v>
      </c>
      <c r="K104" s="8">
        <f>SUMIFS(Ledger!$L$7:$L$1006,Ledger!$C$7:$C$1006,Portfolio!$C$5,Ledger!$B$7:$B$1006,$A104)</f>
        <v>0</v>
      </c>
      <c r="L104" s="10">
        <f>IF(A104&lt;Holdings!$G$24,"",IF(A104=Holdings!$G$24,IF(K104&gt;0,J104/K104-1,NA()),IF(J103&gt;0,(J104-K104)/J103-1,NA())))</f>
        <v>1.3484943928381732E-2</v>
      </c>
      <c r="M104" s="11">
        <f>IF(A104&lt;Holdings!$G$24,"",IF(A104=Holdings!$G$24,100*(1+L104),M103*(1+L104)))</f>
        <v>102.44347535434592</v>
      </c>
      <c r="N104" s="11">
        <f>IF(A104&lt;Holdings!$G$24,"",IF(A104=Holdings!$G$24,MAX(100,M104),MAX(N103,M104)))</f>
        <v>102.44347535434592</v>
      </c>
      <c r="O104" s="10">
        <f>IF(A104&lt;Holdings!$G$24,"",M104/N104-1)</f>
        <v>0</v>
      </c>
      <c r="P104" s="11">
        <f>IF(A104&lt;Holdings!$G$24,"",IF(History!H104&gt;0,History!H104/INDEX(History!$H$7:$H$136,MATCH(Holdings!$G$24,History!$A$7:$A$136,0))*100,NA()))</f>
        <v>98.225549700000002</v>
      </c>
      <c r="Q104" s="10">
        <f>IF(A104&lt;=Holdings!$G$24,"",P104/P103-1)</f>
        <v>1.1251826474271587E-2</v>
      </c>
      <c r="R104" s="8">
        <f>IF(A104&gt;Portfolio!$J$5,0,-K104+IF(A104=Portfolio!$J$5,J104,0))</f>
        <v>0</v>
      </c>
      <c r="S104" s="1">
        <f>COUNTIFS(History!B104:G104,"&gt;0")</f>
        <v>6</v>
      </c>
      <c r="T104" s="1" t="str">
        <f t="shared" si="7"/>
        <v>05-Aug</v>
      </c>
      <c r="U104" s="10">
        <f>IF(AND(A104&lt;=Portfolio!$J$5,A104&gt;=Holdings!$G$24),O104,0)</f>
        <v>0</v>
      </c>
      <c r="V104" s="12">
        <f>IF(AND(A104&gt;Holdings!$G$24,A104&lt;=Portfolio!$J$5),L104,"")</f>
        <v>1.3484943928381732E-2</v>
      </c>
      <c r="W104" s="12">
        <f>IF(AND(A104&gt;Holdings!$G$24,A104&lt;=Portfolio!$J$5),Q104,"")</f>
        <v>1.1251826474271587E-2</v>
      </c>
    </row>
    <row r="105" spans="1:23" ht="19.95" customHeight="1" x14ac:dyDescent="0.3">
      <c r="A105" s="7">
        <v>46240</v>
      </c>
      <c r="B105" s="1">
        <f>SUMIFS(Ledger!$J$7:$J$1006,Ledger!$C$7:$C$1006,Portfolio!$C$5,Ledger!$E$7:$E$1006,History!B$6,Ledger!$B$7:$B$1006,"&lt;="&amp;$A105)</f>
        <v>100</v>
      </c>
      <c r="C105" s="1">
        <f>SUMIFS(Ledger!$J$7:$J$1006,Ledger!$C$7:$C$1006,Portfolio!$C$5,Ledger!$E$7:$E$1006,History!C$6,Ledger!$B$7:$B$1006,"&lt;="&amp;$A105)</f>
        <v>200</v>
      </c>
      <c r="D105" s="1">
        <f>SUMIFS(Ledger!$J$7:$J$1006,Ledger!$C$7:$C$1006,Portfolio!$C$5,Ledger!$E$7:$E$1006,History!D$6,Ledger!$B$7:$B$1006,"&lt;="&amp;$A105)</f>
        <v>80</v>
      </c>
      <c r="E105" s="1">
        <f>SUMIFS(Ledger!$J$7:$J$1006,Ledger!$C$7:$C$1006,Portfolio!$C$5,Ledger!$E$7:$E$1006,History!E$6,Ledger!$B$7:$B$1006,"&lt;="&amp;$A105)</f>
        <v>130</v>
      </c>
      <c r="F105" s="1">
        <f>SUMIFS(Ledger!$J$7:$J$1006,Ledger!$C$7:$C$1006,Portfolio!$C$5,Ledger!$E$7:$E$1006,History!F$6,Ledger!$B$7:$B$1006,"&lt;="&amp;$A105)</f>
        <v>480</v>
      </c>
      <c r="G105" s="1">
        <f>SUMIFS(Ledger!$J$7:$J$1006,Ledger!$C$7:$C$1006,Portfolio!$C$5,Ledger!$E$7:$E$1006,History!G$6,Ledger!$B$7:$B$1006,"&lt;="&amp;$A105)</f>
        <v>600</v>
      </c>
      <c r="H105" s="8">
        <f>SUMIFS(Ledger!$K$7:$K$1006,Ledger!$C$7:$C$1006,Portfolio!$C$5,Ledger!$B$7:$B$1006,"&lt;="&amp;$A105)</f>
        <v>55406.488000000012</v>
      </c>
      <c r="I105" s="8">
        <f>IF(S105=6,SUMPRODUCT(B105:G105,History!B105:G105),NA())</f>
        <v>493768.41399999999</v>
      </c>
      <c r="J105" s="8">
        <f t="shared" si="6"/>
        <v>549174.902</v>
      </c>
      <c r="K105" s="8">
        <f>SUMIFS(Ledger!$L$7:$L$1006,Ledger!$C$7:$C$1006,Portfolio!$C$5,Ledger!$B$7:$B$1006,$A105)</f>
        <v>0</v>
      </c>
      <c r="L105" s="10">
        <f>IF(A105&lt;Holdings!$G$24,"",IF(A105=Holdings!$G$24,IF(K105&gt;0,J105/K105-1,NA()),IF(J104&gt;0,(J105-K105)/J104-1,NA())))</f>
        <v>-8.6826363217773483E-5</v>
      </c>
      <c r="M105" s="11">
        <f>IF(A105&lt;Holdings!$G$24,"",IF(A105=Holdings!$G$24,100*(1+L105),M104*(1+L105)))</f>
        <v>102.43458055994552</v>
      </c>
      <c r="N105" s="11">
        <f>IF(A105&lt;Holdings!$G$24,"",IF(A105=Holdings!$G$24,MAX(100,M105),MAX(N104,M105)))</f>
        <v>102.44347535434592</v>
      </c>
      <c r="O105" s="10">
        <f>IF(A105&lt;Holdings!$G$24,"",M105/N105-1)</f>
        <v>-8.6826363217773483E-5</v>
      </c>
      <c r="P105" s="11">
        <f>IF(A105&lt;Holdings!$G$24,"",IF(History!H105&gt;0,History!H105/INDEX(History!$H$7:$H$136,MATCH(Holdings!$G$24,History!$A$7:$A$136,0))*100,NA()))</f>
        <v>98.391687099999999</v>
      </c>
      <c r="Q105" s="10">
        <f>IF(A105&lt;=Holdings!$G$24,"",P105/P104-1)</f>
        <v>1.6913868184744718E-3</v>
      </c>
      <c r="R105" s="8">
        <f>IF(A105&gt;Portfolio!$J$5,0,-K105+IF(A105=Portfolio!$J$5,J105,0))</f>
        <v>0</v>
      </c>
      <c r="S105" s="1">
        <f>COUNTIFS(History!B105:G105,"&gt;0")</f>
        <v>6</v>
      </c>
      <c r="T105" s="1" t="str">
        <f t="shared" si="7"/>
        <v>06-Aug</v>
      </c>
      <c r="U105" s="10">
        <f>IF(AND(A105&lt;=Portfolio!$J$5,A105&gt;=Holdings!$G$24),O105,0)</f>
        <v>-8.6826363217773483E-5</v>
      </c>
      <c r="V105" s="12">
        <f>IF(AND(A105&gt;Holdings!$G$24,A105&lt;=Portfolio!$J$5),L105,"")</f>
        <v>-8.6826363217773483E-5</v>
      </c>
      <c r="W105" s="12">
        <f>IF(AND(A105&gt;Holdings!$G$24,A105&lt;=Portfolio!$J$5),Q105,"")</f>
        <v>1.6913868184744718E-3</v>
      </c>
    </row>
    <row r="106" spans="1:23" ht="19.95" customHeight="1" x14ac:dyDescent="0.3">
      <c r="A106" s="7">
        <v>46241</v>
      </c>
      <c r="B106" s="1">
        <f>SUMIFS(Ledger!$J$7:$J$1006,Ledger!$C$7:$C$1006,Portfolio!$C$5,Ledger!$E$7:$E$1006,History!B$6,Ledger!$B$7:$B$1006,"&lt;="&amp;$A106)</f>
        <v>100</v>
      </c>
      <c r="C106" s="1">
        <f>SUMIFS(Ledger!$J$7:$J$1006,Ledger!$C$7:$C$1006,Portfolio!$C$5,Ledger!$E$7:$E$1006,History!C$6,Ledger!$B$7:$B$1006,"&lt;="&amp;$A106)</f>
        <v>200</v>
      </c>
      <c r="D106" s="1">
        <f>SUMIFS(Ledger!$J$7:$J$1006,Ledger!$C$7:$C$1006,Portfolio!$C$5,Ledger!$E$7:$E$1006,History!D$6,Ledger!$B$7:$B$1006,"&lt;="&amp;$A106)</f>
        <v>80</v>
      </c>
      <c r="E106" s="1">
        <f>SUMIFS(Ledger!$J$7:$J$1006,Ledger!$C$7:$C$1006,Portfolio!$C$5,Ledger!$E$7:$E$1006,History!E$6,Ledger!$B$7:$B$1006,"&lt;="&amp;$A106)</f>
        <v>130</v>
      </c>
      <c r="F106" s="1">
        <f>SUMIFS(Ledger!$J$7:$J$1006,Ledger!$C$7:$C$1006,Portfolio!$C$5,Ledger!$E$7:$E$1006,History!F$6,Ledger!$B$7:$B$1006,"&lt;="&amp;$A106)</f>
        <v>480</v>
      </c>
      <c r="G106" s="1">
        <f>SUMIFS(Ledger!$J$7:$J$1006,Ledger!$C$7:$C$1006,Portfolio!$C$5,Ledger!$E$7:$E$1006,History!G$6,Ledger!$B$7:$B$1006,"&lt;="&amp;$A106)</f>
        <v>600</v>
      </c>
      <c r="H106" s="8">
        <f>SUMIFS(Ledger!$K$7:$K$1006,Ledger!$C$7:$C$1006,Portfolio!$C$5,Ledger!$B$7:$B$1006,"&lt;="&amp;$A106)</f>
        <v>55406.488000000012</v>
      </c>
      <c r="I106" s="8">
        <f>IF(S106=6,SUMPRODUCT(B106:G106,History!B106:G106),NA())</f>
        <v>495953.70699999999</v>
      </c>
      <c r="J106" s="8">
        <f t="shared" si="6"/>
        <v>551360.19500000007</v>
      </c>
      <c r="K106" s="8">
        <f>SUMIFS(Ledger!$L$7:$L$1006,Ledger!$C$7:$C$1006,Portfolio!$C$5,Ledger!$B$7:$B$1006,$A106)</f>
        <v>0</v>
      </c>
      <c r="L106" s="10">
        <f>IF(A106&lt;Holdings!$G$24,"",IF(A106=Holdings!$G$24,IF(K106&gt;0,J106/K106-1,NA()),IF(J105&gt;0,(J106-K106)/J105-1,NA())))</f>
        <v>3.9792295533565003E-3</v>
      </c>
      <c r="M106" s="11">
        <f>IF(A106&lt;Holdings!$G$24,"",IF(A106=Holdings!$G$24,100*(1+L106),M105*(1+L106)))</f>
        <v>102.84219127019533</v>
      </c>
      <c r="N106" s="11">
        <f>IF(A106&lt;Holdings!$G$24,"",IF(A106=Holdings!$G$24,MAX(100,M106),MAX(N105,M106)))</f>
        <v>102.84219127019533</v>
      </c>
      <c r="O106" s="10">
        <f>IF(A106&lt;Holdings!$G$24,"",M106/N106-1)</f>
        <v>0</v>
      </c>
      <c r="P106" s="11">
        <f>IF(A106&lt;Holdings!$G$24,"",IF(History!H106&gt;0,History!H106/INDEX(History!$H$7:$H$136,MATCH(Holdings!$G$24,History!$A$7:$A$136,0))*100,NA()))</f>
        <v>98.759670500000013</v>
      </c>
      <c r="Q106" s="10">
        <f>IF(A106&lt;=Holdings!$G$24,"",P106/P105-1)</f>
        <v>3.7399846556753769E-3</v>
      </c>
      <c r="R106" s="8">
        <f>IF(A106&gt;Portfolio!$J$5,0,-K106+IF(A106=Portfolio!$J$5,J106,0))</f>
        <v>0</v>
      </c>
      <c r="S106" s="1">
        <f>COUNTIFS(History!B106:G106,"&gt;0")</f>
        <v>6</v>
      </c>
      <c r="T106" s="1" t="str">
        <f t="shared" si="7"/>
        <v>07-Aug</v>
      </c>
      <c r="U106" s="10">
        <f>IF(AND(A106&lt;=Portfolio!$J$5,A106&gt;=Holdings!$G$24),O106,0)</f>
        <v>0</v>
      </c>
      <c r="V106" s="12">
        <f>IF(AND(A106&gt;Holdings!$G$24,A106&lt;=Portfolio!$J$5),L106,"")</f>
        <v>3.9792295533565003E-3</v>
      </c>
      <c r="W106" s="12">
        <f>IF(AND(A106&gt;Holdings!$G$24,A106&lt;=Portfolio!$J$5),Q106,"")</f>
        <v>3.7399846556753769E-3</v>
      </c>
    </row>
    <row r="107" spans="1:23" ht="19.95" customHeight="1" x14ac:dyDescent="0.3">
      <c r="A107" s="7">
        <v>46244</v>
      </c>
      <c r="B107" s="1">
        <f>SUMIFS(Ledger!$J$7:$J$1006,Ledger!$C$7:$C$1006,Portfolio!$C$5,Ledger!$E$7:$E$1006,History!B$6,Ledger!$B$7:$B$1006,"&lt;="&amp;$A107)</f>
        <v>100</v>
      </c>
      <c r="C107" s="1">
        <f>SUMIFS(Ledger!$J$7:$J$1006,Ledger!$C$7:$C$1006,Portfolio!$C$5,Ledger!$E$7:$E$1006,History!C$6,Ledger!$B$7:$B$1006,"&lt;="&amp;$A107)</f>
        <v>200</v>
      </c>
      <c r="D107" s="1">
        <f>SUMIFS(Ledger!$J$7:$J$1006,Ledger!$C$7:$C$1006,Portfolio!$C$5,Ledger!$E$7:$E$1006,History!D$6,Ledger!$B$7:$B$1006,"&lt;="&amp;$A107)</f>
        <v>80</v>
      </c>
      <c r="E107" s="1">
        <f>SUMIFS(Ledger!$J$7:$J$1006,Ledger!$C$7:$C$1006,Portfolio!$C$5,Ledger!$E$7:$E$1006,History!E$6,Ledger!$B$7:$B$1006,"&lt;="&amp;$A107)</f>
        <v>130</v>
      </c>
      <c r="F107" s="1">
        <f>SUMIFS(Ledger!$J$7:$J$1006,Ledger!$C$7:$C$1006,Portfolio!$C$5,Ledger!$E$7:$E$1006,History!F$6,Ledger!$B$7:$B$1006,"&lt;="&amp;$A107)</f>
        <v>480</v>
      </c>
      <c r="G107" s="1">
        <f>SUMIFS(Ledger!$J$7:$J$1006,Ledger!$C$7:$C$1006,Portfolio!$C$5,Ledger!$E$7:$E$1006,History!G$6,Ledger!$B$7:$B$1006,"&lt;="&amp;$A107)</f>
        <v>600</v>
      </c>
      <c r="H107" s="8">
        <f>SUMIFS(Ledger!$K$7:$K$1006,Ledger!$C$7:$C$1006,Portfolio!$C$5,Ledger!$B$7:$B$1006,"&lt;="&amp;$A107)</f>
        <v>55406.488000000012</v>
      </c>
      <c r="I107" s="8">
        <f>IF(S107=6,SUMPRODUCT(B107:G107,History!B107:G107),NA())</f>
        <v>496497.48099999991</v>
      </c>
      <c r="J107" s="8">
        <f t="shared" si="6"/>
        <v>551903.96899999992</v>
      </c>
      <c r="K107" s="8">
        <f>SUMIFS(Ledger!$L$7:$L$1006,Ledger!$C$7:$C$1006,Portfolio!$C$5,Ledger!$B$7:$B$1006,$A107)</f>
        <v>0</v>
      </c>
      <c r="L107" s="10">
        <f>IF(A107&lt;Holdings!$G$24,"",IF(A107=Holdings!$G$24,IF(K107&gt;0,J107/K107-1,NA()),IF(J106&gt;0,(J107-K107)/J106-1,NA())))</f>
        <v>9.8624094544930152E-4</v>
      </c>
      <c r="M107" s="11">
        <f>IF(A107&lt;Holdings!$G$24,"",IF(A107=Holdings!$G$24,100*(1+L107),M106*(1+L107)))</f>
        <v>102.94361845014572</v>
      </c>
      <c r="N107" s="11">
        <f>IF(A107&lt;Holdings!$G$24,"",IF(A107=Holdings!$G$24,MAX(100,M107),MAX(N106,M107)))</f>
        <v>102.94361845014572</v>
      </c>
      <c r="O107" s="10">
        <f>IF(A107&lt;Holdings!$G$24,"",M107/N107-1)</f>
        <v>0</v>
      </c>
      <c r="P107" s="11">
        <f>IF(A107&lt;Holdings!$G$24,"",IF(History!H107&gt;0,History!H107/INDEX(History!$H$7:$H$136,MATCH(Holdings!$G$24,History!$A$7:$A$136,0))*100,NA()))</f>
        <v>98.876340000000013</v>
      </c>
      <c r="Q107" s="10">
        <f>IF(A107&lt;=Holdings!$G$24,"",P107/P106-1)</f>
        <v>1.1813476028152969E-3</v>
      </c>
      <c r="R107" s="8">
        <f>IF(A107&gt;Portfolio!$J$5,0,-K107+IF(A107=Portfolio!$J$5,J107,0))</f>
        <v>0</v>
      </c>
      <c r="S107" s="1">
        <f>COUNTIFS(History!B107:G107,"&gt;0")</f>
        <v>6</v>
      </c>
      <c r="T107" s="1" t="str">
        <f t="shared" si="7"/>
        <v>10-Aug</v>
      </c>
      <c r="U107" s="10">
        <f>IF(AND(A107&lt;=Portfolio!$J$5,A107&gt;=Holdings!$G$24),O107,0)</f>
        <v>0</v>
      </c>
      <c r="V107" s="12">
        <f>IF(AND(A107&gt;Holdings!$G$24,A107&lt;=Portfolio!$J$5),L107,"")</f>
        <v>9.8624094544930152E-4</v>
      </c>
      <c r="W107" s="12">
        <f>IF(AND(A107&gt;Holdings!$G$24,A107&lt;=Portfolio!$J$5),Q107,"")</f>
        <v>1.1813476028152969E-3</v>
      </c>
    </row>
    <row r="108" spans="1:23" ht="19.95" customHeight="1" x14ac:dyDescent="0.3">
      <c r="A108" s="7">
        <v>46245</v>
      </c>
      <c r="B108" s="1">
        <f>SUMIFS(Ledger!$J$7:$J$1006,Ledger!$C$7:$C$1006,Portfolio!$C$5,Ledger!$E$7:$E$1006,History!B$6,Ledger!$B$7:$B$1006,"&lt;="&amp;$A108)</f>
        <v>100</v>
      </c>
      <c r="C108" s="1">
        <f>SUMIFS(Ledger!$J$7:$J$1006,Ledger!$C$7:$C$1006,Portfolio!$C$5,Ledger!$E$7:$E$1006,History!C$6,Ledger!$B$7:$B$1006,"&lt;="&amp;$A108)</f>
        <v>200</v>
      </c>
      <c r="D108" s="1">
        <f>SUMIFS(Ledger!$J$7:$J$1006,Ledger!$C$7:$C$1006,Portfolio!$C$5,Ledger!$E$7:$E$1006,History!D$6,Ledger!$B$7:$B$1006,"&lt;="&amp;$A108)</f>
        <v>80</v>
      </c>
      <c r="E108" s="1">
        <f>SUMIFS(Ledger!$J$7:$J$1006,Ledger!$C$7:$C$1006,Portfolio!$C$5,Ledger!$E$7:$E$1006,History!E$6,Ledger!$B$7:$B$1006,"&lt;="&amp;$A108)</f>
        <v>130</v>
      </c>
      <c r="F108" s="1">
        <f>SUMIFS(Ledger!$J$7:$J$1006,Ledger!$C$7:$C$1006,Portfolio!$C$5,Ledger!$E$7:$E$1006,History!F$6,Ledger!$B$7:$B$1006,"&lt;="&amp;$A108)</f>
        <v>480</v>
      </c>
      <c r="G108" s="1">
        <f>SUMIFS(Ledger!$J$7:$J$1006,Ledger!$C$7:$C$1006,Portfolio!$C$5,Ledger!$E$7:$E$1006,History!G$6,Ledger!$B$7:$B$1006,"&lt;="&amp;$A108)</f>
        <v>600</v>
      </c>
      <c r="H108" s="8">
        <f>SUMIFS(Ledger!$K$7:$K$1006,Ledger!$C$7:$C$1006,Portfolio!$C$5,Ledger!$B$7:$B$1006,"&lt;="&amp;$A108)</f>
        <v>55406.488000000012</v>
      </c>
      <c r="I108" s="8">
        <f>IF(S108=6,SUMPRODUCT(B108:G108,History!B108:G108),NA())</f>
        <v>489134.27899999998</v>
      </c>
      <c r="J108" s="8">
        <f t="shared" si="6"/>
        <v>544540.76699999999</v>
      </c>
      <c r="K108" s="8">
        <f>SUMIFS(Ledger!$L$7:$L$1006,Ledger!$C$7:$C$1006,Portfolio!$C$5,Ledger!$B$7:$B$1006,$A108)</f>
        <v>0</v>
      </c>
      <c r="L108" s="10">
        <f>IF(A108&lt;Holdings!$G$24,"",IF(A108=Holdings!$G$24,IF(K108&gt;0,J108/K108-1,NA()),IF(J107&gt;0,(J108-K108)/J107-1,NA())))</f>
        <v>-1.3341455060273288E-2</v>
      </c>
      <c r="M108" s="11">
        <f>IF(A108&lt;Holdings!$G$24,"",IF(A108=Holdings!$G$24,100*(1+L108),M107*(1+L108)))</f>
        <v>101.57020079085117</v>
      </c>
      <c r="N108" s="11">
        <f>IF(A108&lt;Holdings!$G$24,"",IF(A108=Holdings!$G$24,MAX(100,M108),MAX(N107,M108)))</f>
        <v>102.94361845014572</v>
      </c>
      <c r="O108" s="10">
        <f>IF(A108&lt;Holdings!$G$24,"",M108/N108-1)</f>
        <v>-1.3341455060273399E-2</v>
      </c>
      <c r="P108" s="11">
        <f>IF(A108&lt;Holdings!$G$24,"",IF(History!H108&gt;0,History!H108/INDEX(History!$H$7:$H$136,MATCH(Holdings!$G$24,History!$A$7:$A$136,0))*100,NA()))</f>
        <v>97.591399300000006</v>
      </c>
      <c r="Q108" s="10">
        <f>IF(A108&lt;=Holdings!$G$24,"",P108/P107-1)</f>
        <v>-1.299543146520199E-2</v>
      </c>
      <c r="R108" s="8">
        <f>IF(A108&gt;Portfolio!$J$5,0,-K108+IF(A108=Portfolio!$J$5,J108,0))</f>
        <v>0</v>
      </c>
      <c r="S108" s="1">
        <f>COUNTIFS(History!B108:G108,"&gt;0")</f>
        <v>6</v>
      </c>
      <c r="T108" s="1" t="str">
        <f t="shared" si="7"/>
        <v>11-Aug</v>
      </c>
      <c r="U108" s="10">
        <f>IF(AND(A108&lt;=Portfolio!$J$5,A108&gt;=Holdings!$G$24),O108,0)</f>
        <v>-1.3341455060273399E-2</v>
      </c>
      <c r="V108" s="12">
        <f>IF(AND(A108&gt;Holdings!$G$24,A108&lt;=Portfolio!$J$5),L108,"")</f>
        <v>-1.3341455060273288E-2</v>
      </c>
      <c r="W108" s="12">
        <f>IF(AND(A108&gt;Holdings!$G$24,A108&lt;=Portfolio!$J$5),Q108,"")</f>
        <v>-1.299543146520199E-2</v>
      </c>
    </row>
    <row r="109" spans="1:23" ht="19.95" customHeight="1" x14ac:dyDescent="0.3">
      <c r="A109" s="7">
        <v>46246</v>
      </c>
      <c r="B109" s="1">
        <f>SUMIFS(Ledger!$J$7:$J$1006,Ledger!$C$7:$C$1006,Portfolio!$C$5,Ledger!$E$7:$E$1006,History!B$6,Ledger!$B$7:$B$1006,"&lt;="&amp;$A109)</f>
        <v>100</v>
      </c>
      <c r="C109" s="1">
        <f>SUMIFS(Ledger!$J$7:$J$1006,Ledger!$C$7:$C$1006,Portfolio!$C$5,Ledger!$E$7:$E$1006,History!C$6,Ledger!$B$7:$B$1006,"&lt;="&amp;$A109)</f>
        <v>200</v>
      </c>
      <c r="D109" s="1">
        <f>SUMIFS(Ledger!$J$7:$J$1006,Ledger!$C$7:$C$1006,Portfolio!$C$5,Ledger!$E$7:$E$1006,History!D$6,Ledger!$B$7:$B$1006,"&lt;="&amp;$A109)</f>
        <v>80</v>
      </c>
      <c r="E109" s="1">
        <f>SUMIFS(Ledger!$J$7:$J$1006,Ledger!$C$7:$C$1006,Portfolio!$C$5,Ledger!$E$7:$E$1006,History!E$6,Ledger!$B$7:$B$1006,"&lt;="&amp;$A109)</f>
        <v>130</v>
      </c>
      <c r="F109" s="1">
        <f>SUMIFS(Ledger!$J$7:$J$1006,Ledger!$C$7:$C$1006,Portfolio!$C$5,Ledger!$E$7:$E$1006,History!F$6,Ledger!$B$7:$B$1006,"&lt;="&amp;$A109)</f>
        <v>480</v>
      </c>
      <c r="G109" s="1">
        <f>SUMIFS(Ledger!$J$7:$J$1006,Ledger!$C$7:$C$1006,Portfolio!$C$5,Ledger!$E$7:$E$1006,History!G$6,Ledger!$B$7:$B$1006,"&lt;="&amp;$A109)</f>
        <v>600</v>
      </c>
      <c r="H109" s="8">
        <f>SUMIFS(Ledger!$K$7:$K$1006,Ledger!$C$7:$C$1006,Portfolio!$C$5,Ledger!$B$7:$B$1006,"&lt;="&amp;$A109)</f>
        <v>55406.488000000012</v>
      </c>
      <c r="I109" s="8">
        <f>IF(S109=6,SUMPRODUCT(B109:G109,History!B109:G109),NA())</f>
        <v>492173.42399999994</v>
      </c>
      <c r="J109" s="8">
        <f t="shared" si="6"/>
        <v>547579.91200000001</v>
      </c>
      <c r="K109" s="8">
        <f>SUMIFS(Ledger!$L$7:$L$1006,Ledger!$C$7:$C$1006,Portfolio!$C$5,Ledger!$B$7:$B$1006,$A109)</f>
        <v>0</v>
      </c>
      <c r="L109" s="10">
        <f>IF(A109&lt;Holdings!$G$24,"",IF(A109=Holdings!$G$24,IF(K109&gt;0,J109/K109-1,NA()),IF(J108&gt;0,(J109-K109)/J108-1,NA())))</f>
        <v>5.5811156559377739E-3</v>
      </c>
      <c r="M109" s="11">
        <f>IF(A109&lt;Holdings!$G$24,"",IF(A109=Holdings!$G$24,100*(1+L109),M108*(1+L109)))</f>
        <v>102.13707582866174</v>
      </c>
      <c r="N109" s="11">
        <f>IF(A109&lt;Holdings!$G$24,"",IF(A109=Holdings!$G$24,MAX(100,M109),MAX(N108,M109)))</f>
        <v>102.94361845014572</v>
      </c>
      <c r="O109" s="10">
        <f>IF(A109&lt;Holdings!$G$24,"",M109/N109-1)</f>
        <v>-7.8347996080454507E-3</v>
      </c>
      <c r="P109" s="11">
        <f>IF(A109&lt;Holdings!$G$24,"",IF(History!H109&gt;0,History!H109/INDEX(History!$H$7:$H$136,MATCH(Holdings!$G$24,History!$A$7:$A$136,0))*100,NA()))</f>
        <v>97.841394199999996</v>
      </c>
      <c r="Q109" s="10">
        <f>IF(A109&lt;=Holdings!$G$24,"",P109/P108-1)</f>
        <v>2.5616488931723413E-3</v>
      </c>
      <c r="R109" s="8">
        <f>IF(A109&gt;Portfolio!$J$5,0,-K109+IF(A109=Portfolio!$J$5,J109,0))</f>
        <v>0</v>
      </c>
      <c r="S109" s="1">
        <f>COUNTIFS(History!B109:G109,"&gt;0")</f>
        <v>6</v>
      </c>
      <c r="T109" s="1" t="str">
        <f t="shared" si="7"/>
        <v>12-Aug</v>
      </c>
      <c r="U109" s="10">
        <f>IF(AND(A109&lt;=Portfolio!$J$5,A109&gt;=Holdings!$G$24),O109,0)</f>
        <v>-7.8347996080454507E-3</v>
      </c>
      <c r="V109" s="12">
        <f>IF(AND(A109&gt;Holdings!$G$24,A109&lt;=Portfolio!$J$5),L109,"")</f>
        <v>5.5811156559377739E-3</v>
      </c>
      <c r="W109" s="12">
        <f>IF(AND(A109&gt;Holdings!$G$24,A109&lt;=Portfolio!$J$5),Q109,"")</f>
        <v>2.5616488931723413E-3</v>
      </c>
    </row>
    <row r="110" spans="1:23" ht="19.95" customHeight="1" x14ac:dyDescent="0.3">
      <c r="A110" s="7">
        <v>46247</v>
      </c>
      <c r="B110" s="1">
        <f>SUMIFS(Ledger!$J$7:$J$1006,Ledger!$C$7:$C$1006,Portfolio!$C$5,Ledger!$E$7:$E$1006,History!B$6,Ledger!$B$7:$B$1006,"&lt;="&amp;$A110)</f>
        <v>100</v>
      </c>
      <c r="C110" s="1">
        <f>SUMIFS(Ledger!$J$7:$J$1006,Ledger!$C$7:$C$1006,Portfolio!$C$5,Ledger!$E$7:$E$1006,History!C$6,Ledger!$B$7:$B$1006,"&lt;="&amp;$A110)</f>
        <v>200</v>
      </c>
      <c r="D110" s="1">
        <f>SUMIFS(Ledger!$J$7:$J$1006,Ledger!$C$7:$C$1006,Portfolio!$C$5,Ledger!$E$7:$E$1006,History!D$6,Ledger!$B$7:$B$1006,"&lt;="&amp;$A110)</f>
        <v>80</v>
      </c>
      <c r="E110" s="1">
        <f>SUMIFS(Ledger!$J$7:$J$1006,Ledger!$C$7:$C$1006,Portfolio!$C$5,Ledger!$E$7:$E$1006,History!E$6,Ledger!$B$7:$B$1006,"&lt;="&amp;$A110)</f>
        <v>130</v>
      </c>
      <c r="F110" s="1">
        <f>SUMIFS(Ledger!$J$7:$J$1006,Ledger!$C$7:$C$1006,Portfolio!$C$5,Ledger!$E$7:$E$1006,History!F$6,Ledger!$B$7:$B$1006,"&lt;="&amp;$A110)</f>
        <v>480</v>
      </c>
      <c r="G110" s="1">
        <f>SUMIFS(Ledger!$J$7:$J$1006,Ledger!$C$7:$C$1006,Portfolio!$C$5,Ledger!$E$7:$E$1006,History!G$6,Ledger!$B$7:$B$1006,"&lt;="&amp;$A110)</f>
        <v>600</v>
      </c>
      <c r="H110" s="8">
        <f>SUMIFS(Ledger!$K$7:$K$1006,Ledger!$C$7:$C$1006,Portfolio!$C$5,Ledger!$B$7:$B$1006,"&lt;="&amp;$A110)</f>
        <v>55406.488000000012</v>
      </c>
      <c r="I110" s="8">
        <f>IF(S110=6,SUMPRODUCT(B110:G110,History!B110:G110),NA())</f>
        <v>493788.76799999998</v>
      </c>
      <c r="J110" s="8">
        <f t="shared" si="6"/>
        <v>549195.25600000005</v>
      </c>
      <c r="K110" s="8">
        <f>SUMIFS(Ledger!$L$7:$L$1006,Ledger!$C$7:$C$1006,Portfolio!$C$5,Ledger!$B$7:$B$1006,$A110)</f>
        <v>0</v>
      </c>
      <c r="L110" s="10">
        <f>IF(A110&lt;Holdings!$G$24,"",IF(A110=Holdings!$G$24,IF(K110&gt;0,J110/K110-1,NA()),IF(J109&gt;0,(J110-K110)/J109-1,NA())))</f>
        <v>2.9499694283892097E-3</v>
      </c>
      <c r="M110" s="11">
        <f>IF(A110&lt;Holdings!$G$24,"",IF(A110=Holdings!$G$24,100*(1+L110),M109*(1+L110)))</f>
        <v>102.43837707986135</v>
      </c>
      <c r="N110" s="11">
        <f>IF(A110&lt;Holdings!$G$24,"",IF(A110=Holdings!$G$24,MAX(100,M110),MAX(N109,M110)))</f>
        <v>102.94361845014572</v>
      </c>
      <c r="O110" s="10">
        <f>IF(A110&lt;Holdings!$G$24,"",M110/N110-1)</f>
        <v>-4.9079425989776437E-3</v>
      </c>
      <c r="P110" s="11">
        <f>IF(A110&lt;Holdings!$G$24,"",IF(History!H110&gt;0,History!H110/INDEX(History!$H$7:$H$136,MATCH(Holdings!$G$24,History!$A$7:$A$136,0))*100,NA()))</f>
        <v>98.308119500000004</v>
      </c>
      <c r="Q110" s="10">
        <f>IF(A110&lt;=Holdings!$G$24,"",P110/P109-1)</f>
        <v>4.770223317198008E-3</v>
      </c>
      <c r="R110" s="8">
        <f>IF(A110&gt;Portfolio!$J$5,0,-K110+IF(A110=Portfolio!$J$5,J110,0))</f>
        <v>0</v>
      </c>
      <c r="S110" s="1">
        <f>COUNTIFS(History!B110:G110,"&gt;0")</f>
        <v>6</v>
      </c>
      <c r="T110" s="1" t="str">
        <f t="shared" si="7"/>
        <v>13-Aug</v>
      </c>
      <c r="U110" s="10">
        <f>IF(AND(A110&lt;=Portfolio!$J$5,A110&gt;=Holdings!$G$24),O110,0)</f>
        <v>-4.9079425989776437E-3</v>
      </c>
      <c r="V110" s="12">
        <f>IF(AND(A110&gt;Holdings!$G$24,A110&lt;=Portfolio!$J$5),L110,"")</f>
        <v>2.9499694283892097E-3</v>
      </c>
      <c r="W110" s="12">
        <f>IF(AND(A110&gt;Holdings!$G$24,A110&lt;=Portfolio!$J$5),Q110,"")</f>
        <v>4.770223317198008E-3</v>
      </c>
    </row>
    <row r="111" spans="1:23" ht="19.95" customHeight="1" x14ac:dyDescent="0.3">
      <c r="A111" s="7">
        <v>46248</v>
      </c>
      <c r="B111" s="1">
        <f>SUMIFS(Ledger!$J$7:$J$1006,Ledger!$C$7:$C$1006,Portfolio!$C$5,Ledger!$E$7:$E$1006,History!B$6,Ledger!$B$7:$B$1006,"&lt;="&amp;$A111)</f>
        <v>100</v>
      </c>
      <c r="C111" s="1">
        <f>SUMIFS(Ledger!$J$7:$J$1006,Ledger!$C$7:$C$1006,Portfolio!$C$5,Ledger!$E$7:$E$1006,History!C$6,Ledger!$B$7:$B$1006,"&lt;="&amp;$A111)</f>
        <v>220</v>
      </c>
      <c r="D111" s="1">
        <f>SUMIFS(Ledger!$J$7:$J$1006,Ledger!$C$7:$C$1006,Portfolio!$C$5,Ledger!$E$7:$E$1006,History!D$6,Ledger!$B$7:$B$1006,"&lt;="&amp;$A111)</f>
        <v>80</v>
      </c>
      <c r="E111" s="1">
        <f>SUMIFS(Ledger!$J$7:$J$1006,Ledger!$C$7:$C$1006,Portfolio!$C$5,Ledger!$E$7:$E$1006,History!E$6,Ledger!$B$7:$B$1006,"&lt;="&amp;$A111)</f>
        <v>130</v>
      </c>
      <c r="F111" s="1">
        <f>SUMIFS(Ledger!$J$7:$J$1006,Ledger!$C$7:$C$1006,Portfolio!$C$5,Ledger!$E$7:$E$1006,History!F$6,Ledger!$B$7:$B$1006,"&lt;="&amp;$A111)</f>
        <v>480</v>
      </c>
      <c r="G111" s="1">
        <f>SUMIFS(Ledger!$J$7:$J$1006,Ledger!$C$7:$C$1006,Portfolio!$C$5,Ledger!$E$7:$E$1006,History!G$6,Ledger!$B$7:$B$1006,"&lt;="&amp;$A111)</f>
        <v>600</v>
      </c>
      <c r="H111" s="8">
        <f>SUMIFS(Ledger!$K$7:$K$1006,Ledger!$C$7:$C$1006,Portfolio!$C$5,Ledger!$B$7:$B$1006,"&lt;="&amp;$A111)</f>
        <v>43923.58400000001</v>
      </c>
      <c r="I111" s="8">
        <f>IF(S111=6,SUMPRODUCT(B111:G111,History!B111:G111),NA())</f>
        <v>507044.56000000006</v>
      </c>
      <c r="J111" s="8">
        <f t="shared" si="6"/>
        <v>550968.14400000009</v>
      </c>
      <c r="K111" s="8">
        <f>SUMIFS(Ledger!$L$7:$L$1006,Ledger!$C$7:$C$1006,Portfolio!$C$5,Ledger!$B$7:$B$1006,$A111)</f>
        <v>0</v>
      </c>
      <c r="L111" s="10">
        <f>IF(A111&lt;Holdings!$G$24,"",IF(A111=Holdings!$G$24,IF(K111&gt;0,J111/K111-1,NA()),IF(J110&gt;0,(J111-K111)/J110-1,NA())))</f>
        <v>3.2281560713263158E-3</v>
      </c>
      <c r="M111" s="11">
        <f>IF(A111&lt;Holdings!$G$24,"",IF(A111=Holdings!$G$24,100*(1+L111),M110*(1+L111)))</f>
        <v>102.76906414876852</v>
      </c>
      <c r="N111" s="11">
        <f>IF(A111&lt;Holdings!$G$24,"",IF(A111=Holdings!$G$24,MAX(100,M111),MAX(N110,M111)))</f>
        <v>102.94361845014572</v>
      </c>
      <c r="O111" s="10">
        <f>IF(A111&lt;Holdings!$G$24,"",M111/N111-1)</f>
        <v>-1.6956301323498568E-3</v>
      </c>
      <c r="P111" s="11">
        <f>IF(A111&lt;Holdings!$G$24,"",IF(History!H111&gt;0,History!H111/INDEX(History!$H$7:$H$136,MATCH(Holdings!$G$24,History!$A$7:$A$136,0))*100,NA()))</f>
        <v>98.554955800000002</v>
      </c>
      <c r="Q111" s="10">
        <f>IF(A111&lt;=Holdings!$G$24,"",P111/P110-1)</f>
        <v>2.5108434710725547E-3</v>
      </c>
      <c r="R111" s="8">
        <f>IF(A111&gt;Portfolio!$J$5,0,-K111+IF(A111=Portfolio!$J$5,J111,0))</f>
        <v>0</v>
      </c>
      <c r="S111" s="1">
        <f>COUNTIFS(History!B111:G111,"&gt;0")</f>
        <v>6</v>
      </c>
      <c r="T111" s="1" t="str">
        <f t="shared" si="7"/>
        <v>14-Aug</v>
      </c>
      <c r="U111" s="10">
        <f>IF(AND(A111&lt;=Portfolio!$J$5,A111&gt;=Holdings!$G$24),O111,0)</f>
        <v>-1.6956301323498568E-3</v>
      </c>
      <c r="V111" s="12">
        <f>IF(AND(A111&gt;Holdings!$G$24,A111&lt;=Portfolio!$J$5),L111,"")</f>
        <v>3.2281560713263158E-3</v>
      </c>
      <c r="W111" s="12">
        <f>IF(AND(A111&gt;Holdings!$G$24,A111&lt;=Portfolio!$J$5),Q111,"")</f>
        <v>2.5108434710725547E-3</v>
      </c>
    </row>
    <row r="112" spans="1:23" ht="19.95" customHeight="1" x14ac:dyDescent="0.3">
      <c r="A112" s="7">
        <v>46251</v>
      </c>
      <c r="B112" s="1">
        <f>SUMIFS(Ledger!$J$7:$J$1006,Ledger!$C$7:$C$1006,Portfolio!$C$5,Ledger!$E$7:$E$1006,History!B$6,Ledger!$B$7:$B$1006,"&lt;="&amp;$A112)</f>
        <v>100</v>
      </c>
      <c r="C112" s="1">
        <f>SUMIFS(Ledger!$J$7:$J$1006,Ledger!$C$7:$C$1006,Portfolio!$C$5,Ledger!$E$7:$E$1006,History!C$6,Ledger!$B$7:$B$1006,"&lt;="&amp;$A112)</f>
        <v>220</v>
      </c>
      <c r="D112" s="1">
        <f>SUMIFS(Ledger!$J$7:$J$1006,Ledger!$C$7:$C$1006,Portfolio!$C$5,Ledger!$E$7:$E$1006,History!D$6,Ledger!$B$7:$B$1006,"&lt;="&amp;$A112)</f>
        <v>80</v>
      </c>
      <c r="E112" s="1">
        <f>SUMIFS(Ledger!$J$7:$J$1006,Ledger!$C$7:$C$1006,Portfolio!$C$5,Ledger!$E$7:$E$1006,History!E$6,Ledger!$B$7:$B$1006,"&lt;="&amp;$A112)</f>
        <v>130</v>
      </c>
      <c r="F112" s="1">
        <f>SUMIFS(Ledger!$J$7:$J$1006,Ledger!$C$7:$C$1006,Portfolio!$C$5,Ledger!$E$7:$E$1006,History!F$6,Ledger!$B$7:$B$1006,"&lt;="&amp;$A112)</f>
        <v>480</v>
      </c>
      <c r="G112" s="1">
        <f>SUMIFS(Ledger!$J$7:$J$1006,Ledger!$C$7:$C$1006,Portfolio!$C$5,Ledger!$E$7:$E$1006,History!G$6,Ledger!$B$7:$B$1006,"&lt;="&amp;$A112)</f>
        <v>600</v>
      </c>
      <c r="H112" s="8">
        <f>SUMIFS(Ledger!$K$7:$K$1006,Ledger!$C$7:$C$1006,Portfolio!$C$5,Ledger!$B$7:$B$1006,"&lt;="&amp;$A112)</f>
        <v>43923.58400000001</v>
      </c>
      <c r="I112" s="8">
        <f>IF(S112=6,SUMPRODUCT(B112:G112,History!B112:G112),NA())</f>
        <v>499839.03500000003</v>
      </c>
      <c r="J112" s="8">
        <f t="shared" si="6"/>
        <v>543762.61900000006</v>
      </c>
      <c r="K112" s="8">
        <f>SUMIFS(Ledger!$L$7:$L$1006,Ledger!$C$7:$C$1006,Portfolio!$C$5,Ledger!$B$7:$B$1006,$A112)</f>
        <v>0</v>
      </c>
      <c r="L112" s="10">
        <f>IF(A112&lt;Holdings!$G$24,"",IF(A112=Holdings!$G$24,IF(K112&gt;0,J112/K112-1,NA()),IF(J111&gt;0,(J112-K112)/J111-1,NA())))</f>
        <v>-1.3077933957648225E-2</v>
      </c>
      <c r="M112" s="11">
        <f>IF(A112&lt;Holdings!$G$24,"",IF(A112=Holdings!$G$24,100*(1+L112),M111*(1+L112)))</f>
        <v>101.42505711494161</v>
      </c>
      <c r="N112" s="11">
        <f>IF(A112&lt;Holdings!$G$24,"",IF(A112=Holdings!$G$24,MAX(100,M112),MAX(N111,M112)))</f>
        <v>102.94361845014572</v>
      </c>
      <c r="O112" s="10">
        <f>IF(A112&lt;Holdings!$G$24,"",M112/N112-1)</f>
        <v>-1.4751388751110706E-2</v>
      </c>
      <c r="P112" s="11">
        <f>IF(A112&lt;Holdings!$G$24,"",IF(History!H112&gt;0,History!H112/INDEX(History!$H$7:$H$136,MATCH(Holdings!$G$24,History!$A$7:$A$136,0))*100,NA()))</f>
        <v>97.3258321</v>
      </c>
      <c r="Q112" s="10">
        <f>IF(A112&lt;=Holdings!$G$24,"",P112/P111-1)</f>
        <v>-1.2471455037677548E-2</v>
      </c>
      <c r="R112" s="8">
        <f>IF(A112&gt;Portfolio!$J$5,0,-K112+IF(A112=Portfolio!$J$5,J112,0))</f>
        <v>0</v>
      </c>
      <c r="S112" s="1">
        <f>COUNTIFS(History!B112:G112,"&gt;0")</f>
        <v>6</v>
      </c>
      <c r="T112" s="1" t="str">
        <f t="shared" si="7"/>
        <v>17-Aug</v>
      </c>
      <c r="U112" s="10">
        <f>IF(AND(A112&lt;=Portfolio!$J$5,A112&gt;=Holdings!$G$24),O112,0)</f>
        <v>-1.4751388751110706E-2</v>
      </c>
      <c r="V112" s="12">
        <f>IF(AND(A112&gt;Holdings!$G$24,A112&lt;=Portfolio!$J$5),L112,"")</f>
        <v>-1.3077933957648225E-2</v>
      </c>
      <c r="W112" s="12">
        <f>IF(AND(A112&gt;Holdings!$G$24,A112&lt;=Portfolio!$J$5),Q112,"")</f>
        <v>-1.2471455037677548E-2</v>
      </c>
    </row>
    <row r="113" spans="1:23" ht="19.95" customHeight="1" x14ac:dyDescent="0.3">
      <c r="A113" s="7">
        <v>46252</v>
      </c>
      <c r="B113" s="1">
        <f>SUMIFS(Ledger!$J$7:$J$1006,Ledger!$C$7:$C$1006,Portfolio!$C$5,Ledger!$E$7:$E$1006,History!B$6,Ledger!$B$7:$B$1006,"&lt;="&amp;$A113)</f>
        <v>100</v>
      </c>
      <c r="C113" s="1">
        <f>SUMIFS(Ledger!$J$7:$J$1006,Ledger!$C$7:$C$1006,Portfolio!$C$5,Ledger!$E$7:$E$1006,History!C$6,Ledger!$B$7:$B$1006,"&lt;="&amp;$A113)</f>
        <v>220</v>
      </c>
      <c r="D113" s="1">
        <f>SUMIFS(Ledger!$J$7:$J$1006,Ledger!$C$7:$C$1006,Portfolio!$C$5,Ledger!$E$7:$E$1006,History!D$6,Ledger!$B$7:$B$1006,"&lt;="&amp;$A113)</f>
        <v>80</v>
      </c>
      <c r="E113" s="1">
        <f>SUMIFS(Ledger!$J$7:$J$1006,Ledger!$C$7:$C$1006,Portfolio!$C$5,Ledger!$E$7:$E$1006,History!E$6,Ledger!$B$7:$B$1006,"&lt;="&amp;$A113)</f>
        <v>130</v>
      </c>
      <c r="F113" s="1">
        <f>SUMIFS(Ledger!$J$7:$J$1006,Ledger!$C$7:$C$1006,Portfolio!$C$5,Ledger!$E$7:$E$1006,History!F$6,Ledger!$B$7:$B$1006,"&lt;="&amp;$A113)</f>
        <v>480</v>
      </c>
      <c r="G113" s="1">
        <f>SUMIFS(Ledger!$J$7:$J$1006,Ledger!$C$7:$C$1006,Portfolio!$C$5,Ledger!$E$7:$E$1006,History!G$6,Ledger!$B$7:$B$1006,"&lt;="&amp;$A113)</f>
        <v>600</v>
      </c>
      <c r="H113" s="8">
        <f>SUMIFS(Ledger!$K$7:$K$1006,Ledger!$C$7:$C$1006,Portfolio!$C$5,Ledger!$B$7:$B$1006,"&lt;="&amp;$A113)</f>
        <v>43923.58400000001</v>
      </c>
      <c r="I113" s="8">
        <f>IF(S113=6,SUMPRODUCT(B113:G113,History!B113:G113),NA())</f>
        <v>499244.00799999997</v>
      </c>
      <c r="J113" s="8">
        <f t="shared" si="6"/>
        <v>543167.59199999995</v>
      </c>
      <c r="K113" s="8">
        <f>SUMIFS(Ledger!$L$7:$L$1006,Ledger!$C$7:$C$1006,Portfolio!$C$5,Ledger!$B$7:$B$1006,$A113)</f>
        <v>0</v>
      </c>
      <c r="L113" s="10">
        <f>IF(A113&lt;Holdings!$G$24,"",IF(A113=Holdings!$G$24,IF(K113&gt;0,J113/K113-1,NA()),IF(J112&gt;0,(J113-K113)/J112-1,NA())))</f>
        <v>-1.094277133456445E-3</v>
      </c>
      <c r="M113" s="11">
        <f>IF(A113&lt;Holdings!$G$24,"",IF(A113=Holdings!$G$24,100*(1+L113),M112*(1+L113)))</f>
        <v>101.31406999418121</v>
      </c>
      <c r="N113" s="11">
        <f>IF(A113&lt;Holdings!$G$24,"",IF(A113=Holdings!$G$24,MAX(100,M113),MAX(N112,M113)))</f>
        <v>102.94361845014572</v>
      </c>
      <c r="O113" s="10">
        <f>IF(A113&lt;Holdings!$G$24,"",M113/N113-1)</f>
        <v>-1.5829523777170174E-2</v>
      </c>
      <c r="P113" s="11">
        <f>IF(A113&lt;Holdings!$G$24,"",IF(History!H113&gt;0,History!H113/INDEX(History!$H$7:$H$136,MATCH(Holdings!$G$24,History!$A$7:$A$136,0))*100,NA()))</f>
        <v>97.415992599999996</v>
      </c>
      <c r="Q113" s="10">
        <f>IF(A113&lt;=Holdings!$G$24,"",P113/P112-1)</f>
        <v>9.2637790044647339E-4</v>
      </c>
      <c r="R113" s="8">
        <f>IF(A113&gt;Portfolio!$J$5,0,-K113+IF(A113=Portfolio!$J$5,J113,0))</f>
        <v>0</v>
      </c>
      <c r="S113" s="1">
        <f>COUNTIFS(History!B113:G113,"&gt;0")</f>
        <v>6</v>
      </c>
      <c r="T113" s="1" t="str">
        <f t="shared" si="7"/>
        <v>18-Aug</v>
      </c>
      <c r="U113" s="10">
        <f>IF(AND(A113&lt;=Portfolio!$J$5,A113&gt;=Holdings!$G$24),O113,0)</f>
        <v>-1.5829523777170174E-2</v>
      </c>
      <c r="V113" s="12">
        <f>IF(AND(A113&gt;Holdings!$G$24,A113&lt;=Portfolio!$J$5),L113,"")</f>
        <v>-1.094277133456445E-3</v>
      </c>
      <c r="W113" s="12">
        <f>IF(AND(A113&gt;Holdings!$G$24,A113&lt;=Portfolio!$J$5),Q113,"")</f>
        <v>9.2637790044647339E-4</v>
      </c>
    </row>
    <row r="114" spans="1:23" ht="19.95" customHeight="1" x14ac:dyDescent="0.3">
      <c r="A114" s="7">
        <v>46253</v>
      </c>
      <c r="B114" s="1">
        <f>SUMIFS(Ledger!$J$7:$J$1006,Ledger!$C$7:$C$1006,Portfolio!$C$5,Ledger!$E$7:$E$1006,History!B$6,Ledger!$B$7:$B$1006,"&lt;="&amp;$A114)</f>
        <v>100</v>
      </c>
      <c r="C114" s="1">
        <f>SUMIFS(Ledger!$J$7:$J$1006,Ledger!$C$7:$C$1006,Portfolio!$C$5,Ledger!$E$7:$E$1006,History!C$6,Ledger!$B$7:$B$1006,"&lt;="&amp;$A114)</f>
        <v>220</v>
      </c>
      <c r="D114" s="1">
        <f>SUMIFS(Ledger!$J$7:$J$1006,Ledger!$C$7:$C$1006,Portfolio!$C$5,Ledger!$E$7:$E$1006,History!D$6,Ledger!$B$7:$B$1006,"&lt;="&amp;$A114)</f>
        <v>80</v>
      </c>
      <c r="E114" s="1">
        <f>SUMIFS(Ledger!$J$7:$J$1006,Ledger!$C$7:$C$1006,Portfolio!$C$5,Ledger!$E$7:$E$1006,History!E$6,Ledger!$B$7:$B$1006,"&lt;="&amp;$A114)</f>
        <v>130</v>
      </c>
      <c r="F114" s="1">
        <f>SUMIFS(Ledger!$J$7:$J$1006,Ledger!$C$7:$C$1006,Portfolio!$C$5,Ledger!$E$7:$E$1006,History!F$6,Ledger!$B$7:$B$1006,"&lt;="&amp;$A114)</f>
        <v>480</v>
      </c>
      <c r="G114" s="1">
        <f>SUMIFS(Ledger!$J$7:$J$1006,Ledger!$C$7:$C$1006,Portfolio!$C$5,Ledger!$E$7:$E$1006,History!G$6,Ledger!$B$7:$B$1006,"&lt;="&amp;$A114)</f>
        <v>600</v>
      </c>
      <c r="H114" s="8">
        <f>SUMIFS(Ledger!$K$7:$K$1006,Ledger!$C$7:$C$1006,Portfolio!$C$5,Ledger!$B$7:$B$1006,"&lt;="&amp;$A114)</f>
        <v>43923.58400000001</v>
      </c>
      <c r="I114" s="8">
        <f>IF(S114=6,SUMPRODUCT(B114:G114,History!B114:G114),NA())</f>
        <v>498943.93499999994</v>
      </c>
      <c r="J114" s="8">
        <f t="shared" si="6"/>
        <v>542867.51899999997</v>
      </c>
      <c r="K114" s="8">
        <f>SUMIFS(Ledger!$L$7:$L$1006,Ledger!$C$7:$C$1006,Portfolio!$C$5,Ledger!$B$7:$B$1006,$A114)</f>
        <v>0</v>
      </c>
      <c r="L114" s="10">
        <f>IF(A114&lt;Holdings!$G$24,"",IF(A114=Holdings!$G$24,IF(K114&gt;0,J114/K114-1,NA()),IF(J113&gt;0,(J114-K114)/J113-1,NA())))</f>
        <v>-5.5245011745841399E-4</v>
      </c>
      <c r="M114" s="11">
        <f>IF(A114&lt;Holdings!$G$24,"",IF(A114=Holdings!$G$24,100*(1+L114),M113*(1+L114)))</f>
        <v>101.25809902431274</v>
      </c>
      <c r="N114" s="11">
        <f>IF(A114&lt;Holdings!$G$24,"",IF(A114=Holdings!$G$24,MAX(100,M114),MAX(N113,M114)))</f>
        <v>102.94361845014572</v>
      </c>
      <c r="O114" s="10">
        <f>IF(A114&lt;Holdings!$G$24,"",M114/N114-1)</f>
        <v>-1.6373228872358481E-2</v>
      </c>
      <c r="P114" s="11">
        <f>IF(A114&lt;Holdings!$G$24,"",IF(History!H114&gt;0,History!H114/INDEX(History!$H$7:$H$136,MATCH(Holdings!$G$24,History!$A$7:$A$136,0))*100,NA()))</f>
        <v>97.739345700000001</v>
      </c>
      <c r="Q114" s="10">
        <f>IF(A114&lt;=Holdings!$G$24,"",P114/P113-1)</f>
        <v>3.3193020095552139E-3</v>
      </c>
      <c r="R114" s="8">
        <f>IF(A114&gt;Portfolio!$J$5,0,-K114+IF(A114=Portfolio!$J$5,J114,0))</f>
        <v>0</v>
      </c>
      <c r="S114" s="1">
        <f>COUNTIFS(History!B114:G114,"&gt;0")</f>
        <v>6</v>
      </c>
      <c r="T114" s="1" t="str">
        <f t="shared" si="7"/>
        <v>19-Aug</v>
      </c>
      <c r="U114" s="10">
        <f>IF(AND(A114&lt;=Portfolio!$J$5,A114&gt;=Holdings!$G$24),O114,0)</f>
        <v>-1.6373228872358481E-2</v>
      </c>
      <c r="V114" s="12">
        <f>IF(AND(A114&gt;Holdings!$G$24,A114&lt;=Portfolio!$J$5),L114,"")</f>
        <v>-5.5245011745841399E-4</v>
      </c>
      <c r="W114" s="12">
        <f>IF(AND(A114&gt;Holdings!$G$24,A114&lt;=Portfolio!$J$5),Q114,"")</f>
        <v>3.3193020095552139E-3</v>
      </c>
    </row>
    <row r="115" spans="1:23" ht="19.95" customHeight="1" x14ac:dyDescent="0.3">
      <c r="A115" s="7">
        <v>46254</v>
      </c>
      <c r="B115" s="1">
        <f>SUMIFS(Ledger!$J$7:$J$1006,Ledger!$C$7:$C$1006,Portfolio!$C$5,Ledger!$E$7:$E$1006,History!B$6,Ledger!$B$7:$B$1006,"&lt;="&amp;$A115)</f>
        <v>100</v>
      </c>
      <c r="C115" s="1">
        <f>SUMIFS(Ledger!$J$7:$J$1006,Ledger!$C$7:$C$1006,Portfolio!$C$5,Ledger!$E$7:$E$1006,History!C$6,Ledger!$B$7:$B$1006,"&lt;="&amp;$A115)</f>
        <v>220</v>
      </c>
      <c r="D115" s="1">
        <f>SUMIFS(Ledger!$J$7:$J$1006,Ledger!$C$7:$C$1006,Portfolio!$C$5,Ledger!$E$7:$E$1006,History!D$6,Ledger!$B$7:$B$1006,"&lt;="&amp;$A115)</f>
        <v>80</v>
      </c>
      <c r="E115" s="1">
        <f>SUMIFS(Ledger!$J$7:$J$1006,Ledger!$C$7:$C$1006,Portfolio!$C$5,Ledger!$E$7:$E$1006,History!E$6,Ledger!$B$7:$B$1006,"&lt;="&amp;$A115)</f>
        <v>130</v>
      </c>
      <c r="F115" s="1">
        <f>SUMIFS(Ledger!$J$7:$J$1006,Ledger!$C$7:$C$1006,Portfolio!$C$5,Ledger!$E$7:$E$1006,History!F$6,Ledger!$B$7:$B$1006,"&lt;="&amp;$A115)</f>
        <v>480</v>
      </c>
      <c r="G115" s="1">
        <f>SUMIFS(Ledger!$J$7:$J$1006,Ledger!$C$7:$C$1006,Portfolio!$C$5,Ledger!$E$7:$E$1006,History!G$6,Ledger!$B$7:$B$1006,"&lt;="&amp;$A115)</f>
        <v>600</v>
      </c>
      <c r="H115" s="8">
        <f>SUMIFS(Ledger!$K$7:$K$1006,Ledger!$C$7:$C$1006,Portfolio!$C$5,Ledger!$B$7:$B$1006,"&lt;="&amp;$A115)</f>
        <v>43923.58400000001</v>
      </c>
      <c r="I115" s="8">
        <f>IF(S115=6,SUMPRODUCT(B115:G115,History!B115:G115),NA())</f>
        <v>500051.42499999999</v>
      </c>
      <c r="J115" s="8">
        <f t="shared" si="6"/>
        <v>543975.00899999996</v>
      </c>
      <c r="K115" s="8">
        <f>SUMIFS(Ledger!$L$7:$L$1006,Ledger!$C$7:$C$1006,Portfolio!$C$5,Ledger!$B$7:$B$1006,$A115)</f>
        <v>0</v>
      </c>
      <c r="L115" s="10">
        <f>IF(A115&lt;Holdings!$G$24,"",IF(A115=Holdings!$G$24,IF(K115&gt;0,J115/K115-1,NA()),IF(J114&gt;0,(J115-K115)/J114-1,NA())))</f>
        <v>2.040074164024519E-3</v>
      </c>
      <c r="M115" s="11">
        <f>IF(A115&lt;Holdings!$G$24,"",IF(A115=Holdings!$G$24,100*(1+L115),M114*(1+L115)))</f>
        <v>101.46467305603048</v>
      </c>
      <c r="N115" s="11">
        <f>IF(A115&lt;Holdings!$G$24,"",IF(A115=Holdings!$G$24,MAX(100,M115),MAX(N114,M115)))</f>
        <v>102.94361845014572</v>
      </c>
      <c r="O115" s="10">
        <f>IF(A115&lt;Holdings!$G$24,"",M115/N115-1)</f>
        <v>-1.4366557309538064E-2</v>
      </c>
      <c r="P115" s="11">
        <f>IF(A115&lt;Holdings!$G$24,"",IF(History!H115&gt;0,History!H115/INDEX(History!$H$7:$H$136,MATCH(Holdings!$G$24,History!$A$7:$A$136,0))*100,NA()))</f>
        <v>98.099471200000011</v>
      </c>
      <c r="Q115" s="10">
        <f>IF(A115&lt;=Holdings!$G$24,"",P115/P114-1)</f>
        <v>3.6845499365769641E-3</v>
      </c>
      <c r="R115" s="8">
        <f>IF(A115&gt;Portfolio!$J$5,0,-K115+IF(A115=Portfolio!$J$5,J115,0))</f>
        <v>0</v>
      </c>
      <c r="S115" s="1">
        <f>COUNTIFS(History!B115:G115,"&gt;0")</f>
        <v>6</v>
      </c>
      <c r="T115" s="1" t="str">
        <f t="shared" si="7"/>
        <v>20-Aug</v>
      </c>
      <c r="U115" s="10">
        <f>IF(AND(A115&lt;=Portfolio!$J$5,A115&gt;=Holdings!$G$24),O115,0)</f>
        <v>-1.4366557309538064E-2</v>
      </c>
      <c r="V115" s="12">
        <f>IF(AND(A115&gt;Holdings!$G$24,A115&lt;=Portfolio!$J$5),L115,"")</f>
        <v>2.040074164024519E-3</v>
      </c>
      <c r="W115" s="12">
        <f>IF(AND(A115&gt;Holdings!$G$24,A115&lt;=Portfolio!$J$5),Q115,"")</f>
        <v>3.6845499365769641E-3</v>
      </c>
    </row>
    <row r="116" spans="1:23" ht="19.95" customHeight="1" x14ac:dyDescent="0.3">
      <c r="A116" s="7">
        <v>46255</v>
      </c>
      <c r="B116" s="1">
        <f>SUMIFS(Ledger!$J$7:$J$1006,Ledger!$C$7:$C$1006,Portfolio!$C$5,Ledger!$E$7:$E$1006,History!B$6,Ledger!$B$7:$B$1006,"&lt;="&amp;$A116)</f>
        <v>100</v>
      </c>
      <c r="C116" s="1">
        <f>SUMIFS(Ledger!$J$7:$J$1006,Ledger!$C$7:$C$1006,Portfolio!$C$5,Ledger!$E$7:$E$1006,History!C$6,Ledger!$B$7:$B$1006,"&lt;="&amp;$A116)</f>
        <v>220</v>
      </c>
      <c r="D116" s="1">
        <f>SUMIFS(Ledger!$J$7:$J$1006,Ledger!$C$7:$C$1006,Portfolio!$C$5,Ledger!$E$7:$E$1006,History!D$6,Ledger!$B$7:$B$1006,"&lt;="&amp;$A116)</f>
        <v>80</v>
      </c>
      <c r="E116" s="1">
        <f>SUMIFS(Ledger!$J$7:$J$1006,Ledger!$C$7:$C$1006,Portfolio!$C$5,Ledger!$E$7:$E$1006,History!E$6,Ledger!$B$7:$B$1006,"&lt;="&amp;$A116)</f>
        <v>130</v>
      </c>
      <c r="F116" s="1">
        <f>SUMIFS(Ledger!$J$7:$J$1006,Ledger!$C$7:$C$1006,Portfolio!$C$5,Ledger!$E$7:$E$1006,History!F$6,Ledger!$B$7:$B$1006,"&lt;="&amp;$A116)</f>
        <v>480</v>
      </c>
      <c r="G116" s="1">
        <f>SUMIFS(Ledger!$J$7:$J$1006,Ledger!$C$7:$C$1006,Portfolio!$C$5,Ledger!$E$7:$E$1006,History!G$6,Ledger!$B$7:$B$1006,"&lt;="&amp;$A116)</f>
        <v>600</v>
      </c>
      <c r="H116" s="8">
        <f>SUMIFS(Ledger!$K$7:$K$1006,Ledger!$C$7:$C$1006,Portfolio!$C$5,Ledger!$B$7:$B$1006,"&lt;="&amp;$A116)</f>
        <v>43923.58400000001</v>
      </c>
      <c r="I116" s="8">
        <f>IF(S116=6,SUMPRODUCT(B116:G116,History!B116:G116),NA())</f>
        <v>497289.81599999999</v>
      </c>
      <c r="J116" s="8">
        <f t="shared" si="6"/>
        <v>541213.4</v>
      </c>
      <c r="K116" s="8">
        <f>SUMIFS(Ledger!$L$7:$L$1006,Ledger!$C$7:$C$1006,Portfolio!$C$5,Ledger!$B$7:$B$1006,$A116)</f>
        <v>0</v>
      </c>
      <c r="L116" s="10">
        <f>IF(A116&lt;Holdings!$G$24,"",IF(A116=Holdings!$G$24,IF(K116&gt;0,J116/K116-1,NA()),IF(J115&gt;0,(J116-K116)/J115-1,NA())))</f>
        <v>-5.0767203535262428E-3</v>
      </c>
      <c r="M116" s="11">
        <f>IF(A116&lt;Holdings!$G$24,"",IF(A116=Holdings!$G$24,100*(1+L116),M115*(1+L116)))</f>
        <v>100.94956528516305</v>
      </c>
      <c r="N116" s="11">
        <f>IF(A116&lt;Holdings!$G$24,"",IF(A116=Holdings!$G$24,MAX(100,M116),MAX(N115,M116)))</f>
        <v>102.94361845014572</v>
      </c>
      <c r="O116" s="10">
        <f>IF(A116&lt;Holdings!$G$24,"",M116/N116-1)</f>
        <v>-1.9370342669160823E-2</v>
      </c>
      <c r="P116" s="11">
        <f>IF(A116&lt;Holdings!$G$24,"",IF(History!H116&gt;0,History!H116/INDEX(History!$H$7:$H$136,MATCH(Holdings!$G$24,History!$A$7:$A$136,0))*100,NA()))</f>
        <v>97.847237500000006</v>
      </c>
      <c r="Q116" s="10">
        <f>IF(A116&lt;=Holdings!$G$24,"",P116/P115-1)</f>
        <v>-2.5712034623077695E-3</v>
      </c>
      <c r="R116" s="8">
        <f>IF(A116&gt;Portfolio!$J$5,0,-K116+IF(A116=Portfolio!$J$5,J116,0))</f>
        <v>0</v>
      </c>
      <c r="S116" s="1">
        <f>COUNTIFS(History!B116:G116,"&gt;0")</f>
        <v>6</v>
      </c>
      <c r="T116" s="1" t="str">
        <f t="shared" si="7"/>
        <v>21-Aug</v>
      </c>
      <c r="U116" s="10">
        <f>IF(AND(A116&lt;=Portfolio!$J$5,A116&gt;=Holdings!$G$24),O116,0)</f>
        <v>-1.9370342669160823E-2</v>
      </c>
      <c r="V116" s="12">
        <f>IF(AND(A116&gt;Holdings!$G$24,A116&lt;=Portfolio!$J$5),L116,"")</f>
        <v>-5.0767203535262428E-3</v>
      </c>
      <c r="W116" s="12">
        <f>IF(AND(A116&gt;Holdings!$G$24,A116&lt;=Portfolio!$J$5),Q116,"")</f>
        <v>-2.5712034623077695E-3</v>
      </c>
    </row>
    <row r="117" spans="1:23" ht="19.95" customHeight="1" x14ac:dyDescent="0.3">
      <c r="A117" s="7">
        <v>46258</v>
      </c>
      <c r="B117" s="1">
        <f>SUMIFS(Ledger!$J$7:$J$1006,Ledger!$C$7:$C$1006,Portfolio!$C$5,Ledger!$E$7:$E$1006,History!B$6,Ledger!$B$7:$B$1006,"&lt;="&amp;$A117)</f>
        <v>100</v>
      </c>
      <c r="C117" s="1">
        <f>SUMIFS(Ledger!$J$7:$J$1006,Ledger!$C$7:$C$1006,Portfolio!$C$5,Ledger!$E$7:$E$1006,History!C$6,Ledger!$B$7:$B$1006,"&lt;="&amp;$A117)</f>
        <v>220</v>
      </c>
      <c r="D117" s="1">
        <f>SUMIFS(Ledger!$J$7:$J$1006,Ledger!$C$7:$C$1006,Portfolio!$C$5,Ledger!$E$7:$E$1006,History!D$6,Ledger!$B$7:$B$1006,"&lt;="&amp;$A117)</f>
        <v>80</v>
      </c>
      <c r="E117" s="1">
        <f>SUMIFS(Ledger!$J$7:$J$1006,Ledger!$C$7:$C$1006,Portfolio!$C$5,Ledger!$E$7:$E$1006,History!E$6,Ledger!$B$7:$B$1006,"&lt;="&amp;$A117)</f>
        <v>130</v>
      </c>
      <c r="F117" s="1">
        <f>SUMIFS(Ledger!$J$7:$J$1006,Ledger!$C$7:$C$1006,Portfolio!$C$5,Ledger!$E$7:$E$1006,History!F$6,Ledger!$B$7:$B$1006,"&lt;="&amp;$A117)</f>
        <v>480</v>
      </c>
      <c r="G117" s="1">
        <f>SUMIFS(Ledger!$J$7:$J$1006,Ledger!$C$7:$C$1006,Portfolio!$C$5,Ledger!$E$7:$E$1006,History!G$6,Ledger!$B$7:$B$1006,"&lt;="&amp;$A117)</f>
        <v>600</v>
      </c>
      <c r="H117" s="8">
        <f>SUMIFS(Ledger!$K$7:$K$1006,Ledger!$C$7:$C$1006,Portfolio!$C$5,Ledger!$B$7:$B$1006,"&lt;="&amp;$A117)</f>
        <v>43923.58400000001</v>
      </c>
      <c r="I117" s="8">
        <f>IF(S117=6,SUMPRODUCT(B117:G117,History!B117:G117),NA())</f>
        <v>498931.17799999996</v>
      </c>
      <c r="J117" s="8">
        <f t="shared" si="6"/>
        <v>542854.76199999999</v>
      </c>
      <c r="K117" s="8">
        <f>SUMIFS(Ledger!$L$7:$L$1006,Ledger!$C$7:$C$1006,Portfolio!$C$5,Ledger!$B$7:$B$1006,$A117)</f>
        <v>0</v>
      </c>
      <c r="L117" s="10">
        <f>IF(A117&lt;Holdings!$G$24,"",IF(A117=Holdings!$G$24,IF(K117&gt;0,J117/K117-1,NA()),IF(J116&gt;0,(J117-K117)/J116-1,NA())))</f>
        <v>3.0327445698867805E-3</v>
      </c>
      <c r="M117" s="11">
        <f>IF(A117&lt;Holdings!$G$24,"",IF(A117=Holdings!$G$24,100*(1+L117),M116*(1+L117)))</f>
        <v>101.25571953111405</v>
      </c>
      <c r="N117" s="11">
        <f>IF(A117&lt;Holdings!$G$24,"",IF(A117=Holdings!$G$24,MAX(100,M117),MAX(N116,M117)))</f>
        <v>102.94361845014572</v>
      </c>
      <c r="O117" s="10">
        <f>IF(A117&lt;Holdings!$G$24,"",M117/N117-1)</f>
        <v>-1.6396343400820856E-2</v>
      </c>
      <c r="P117" s="11">
        <f>IF(A117&lt;Holdings!$G$24,"",IF(History!H117&gt;0,History!H117/INDEX(History!$H$7:$H$136,MATCH(Holdings!$G$24,History!$A$7:$A$136,0))*100,NA()))</f>
        <v>99.043367900000007</v>
      </c>
      <c r="Q117" s="10">
        <f>IF(A117&lt;=Holdings!$G$24,"",P117/P116-1)</f>
        <v>1.2224467757712576E-2</v>
      </c>
      <c r="R117" s="8">
        <f>IF(A117&gt;Portfolio!$J$5,0,-K117+IF(A117=Portfolio!$J$5,J117,0))</f>
        <v>0</v>
      </c>
      <c r="S117" s="1">
        <f>COUNTIFS(History!B117:G117,"&gt;0")</f>
        <v>6</v>
      </c>
      <c r="T117" s="1" t="str">
        <f t="shared" si="7"/>
        <v>24-Aug</v>
      </c>
      <c r="U117" s="10">
        <f>IF(AND(A117&lt;=Portfolio!$J$5,A117&gt;=Holdings!$G$24),O117,0)</f>
        <v>-1.6396343400820856E-2</v>
      </c>
      <c r="V117" s="12">
        <f>IF(AND(A117&gt;Holdings!$G$24,A117&lt;=Portfolio!$J$5),L117,"")</f>
        <v>3.0327445698867805E-3</v>
      </c>
      <c r="W117" s="12">
        <f>IF(AND(A117&gt;Holdings!$G$24,A117&lt;=Portfolio!$J$5),Q117,"")</f>
        <v>1.2224467757712576E-2</v>
      </c>
    </row>
    <row r="118" spans="1:23" ht="19.95" customHeight="1" x14ac:dyDescent="0.3">
      <c r="A118" s="7">
        <v>46259</v>
      </c>
      <c r="B118" s="1">
        <f>SUMIFS(Ledger!$J$7:$J$1006,Ledger!$C$7:$C$1006,Portfolio!$C$5,Ledger!$E$7:$E$1006,History!B$6,Ledger!$B$7:$B$1006,"&lt;="&amp;$A118)</f>
        <v>100</v>
      </c>
      <c r="C118" s="1">
        <f>SUMIFS(Ledger!$J$7:$J$1006,Ledger!$C$7:$C$1006,Portfolio!$C$5,Ledger!$E$7:$E$1006,History!C$6,Ledger!$B$7:$B$1006,"&lt;="&amp;$A118)</f>
        <v>220</v>
      </c>
      <c r="D118" s="1">
        <f>SUMIFS(Ledger!$J$7:$J$1006,Ledger!$C$7:$C$1006,Portfolio!$C$5,Ledger!$E$7:$E$1006,History!D$6,Ledger!$B$7:$B$1006,"&lt;="&amp;$A118)</f>
        <v>80</v>
      </c>
      <c r="E118" s="1">
        <f>SUMIFS(Ledger!$J$7:$J$1006,Ledger!$C$7:$C$1006,Portfolio!$C$5,Ledger!$E$7:$E$1006,History!E$6,Ledger!$B$7:$B$1006,"&lt;="&amp;$A118)</f>
        <v>130</v>
      </c>
      <c r="F118" s="1">
        <f>SUMIFS(Ledger!$J$7:$J$1006,Ledger!$C$7:$C$1006,Portfolio!$C$5,Ledger!$E$7:$E$1006,History!F$6,Ledger!$B$7:$B$1006,"&lt;="&amp;$A118)</f>
        <v>480</v>
      </c>
      <c r="G118" s="1">
        <f>SUMIFS(Ledger!$J$7:$J$1006,Ledger!$C$7:$C$1006,Portfolio!$C$5,Ledger!$E$7:$E$1006,History!G$6,Ledger!$B$7:$B$1006,"&lt;="&amp;$A118)</f>
        <v>600</v>
      </c>
      <c r="H118" s="8">
        <f>SUMIFS(Ledger!$K$7:$K$1006,Ledger!$C$7:$C$1006,Portfolio!$C$5,Ledger!$B$7:$B$1006,"&lt;="&amp;$A118)</f>
        <v>43923.58400000001</v>
      </c>
      <c r="I118" s="8">
        <f>IF(S118=6,SUMPRODUCT(B118:G118,History!B118:G118),NA())</f>
        <v>492357.20599999995</v>
      </c>
      <c r="J118" s="8">
        <f t="shared" si="6"/>
        <v>536280.78999999992</v>
      </c>
      <c r="K118" s="8">
        <f>SUMIFS(Ledger!$L$7:$L$1006,Ledger!$C$7:$C$1006,Portfolio!$C$5,Ledger!$B$7:$B$1006,$A118)</f>
        <v>0</v>
      </c>
      <c r="L118" s="10">
        <f>IF(A118&lt;Holdings!$G$24,"",IF(A118=Holdings!$G$24,IF(K118&gt;0,J118/K118-1,NA()),IF(J117&gt;0,(J118-K118)/J117-1,NA())))</f>
        <v>-1.2110001532970038E-2</v>
      </c>
      <c r="M118" s="11">
        <f>IF(A118&lt;Holdings!$G$24,"",IF(A118=Holdings!$G$24,100*(1+L118),M117*(1+L118)))</f>
        <v>100.02951261237028</v>
      </c>
      <c r="N118" s="11">
        <f>IF(A118&lt;Holdings!$G$24,"",IF(A118=Holdings!$G$24,MAX(100,M118),MAX(N117,M118)))</f>
        <v>102.94361845014572</v>
      </c>
      <c r="O118" s="10">
        <f>IF(A118&lt;Holdings!$G$24,"",M118/N118-1)</f>
        <v>-2.8307785190071821E-2</v>
      </c>
      <c r="P118" s="11">
        <f>IF(A118&lt;Holdings!$G$24,"",IF(History!H118&gt;0,History!H118/INDEX(History!$H$7:$H$136,MATCH(Holdings!$G$24,History!$A$7:$A$136,0))*100,NA()))</f>
        <v>98.278469099999995</v>
      </c>
      <c r="Q118" s="10">
        <f>IF(A118&lt;=Holdings!$G$24,"",P118/P117-1)</f>
        <v>-7.7228674288650767E-3</v>
      </c>
      <c r="R118" s="8">
        <f>IF(A118&gt;Portfolio!$J$5,0,-K118+IF(A118=Portfolio!$J$5,J118,0))</f>
        <v>0</v>
      </c>
      <c r="S118" s="1">
        <f>COUNTIFS(History!B118:G118,"&gt;0")</f>
        <v>6</v>
      </c>
      <c r="T118" s="1" t="str">
        <f t="shared" si="7"/>
        <v>25-Aug</v>
      </c>
      <c r="U118" s="10">
        <f>IF(AND(A118&lt;=Portfolio!$J$5,A118&gt;=Holdings!$G$24),O118,0)</f>
        <v>-2.8307785190071821E-2</v>
      </c>
      <c r="V118" s="12">
        <f>IF(AND(A118&gt;Holdings!$G$24,A118&lt;=Portfolio!$J$5),L118,"")</f>
        <v>-1.2110001532970038E-2</v>
      </c>
      <c r="W118" s="12">
        <f>IF(AND(A118&gt;Holdings!$G$24,A118&lt;=Portfolio!$J$5),Q118,"")</f>
        <v>-7.7228674288650767E-3</v>
      </c>
    </row>
    <row r="119" spans="1:23" ht="19.95" customHeight="1" x14ac:dyDescent="0.3">
      <c r="A119" s="7">
        <v>46260</v>
      </c>
      <c r="B119" s="1">
        <f>SUMIFS(Ledger!$J$7:$J$1006,Ledger!$C$7:$C$1006,Portfolio!$C$5,Ledger!$E$7:$E$1006,History!B$6,Ledger!$B$7:$B$1006,"&lt;="&amp;$A119)</f>
        <v>100</v>
      </c>
      <c r="C119" s="1">
        <f>SUMIFS(Ledger!$J$7:$J$1006,Ledger!$C$7:$C$1006,Portfolio!$C$5,Ledger!$E$7:$E$1006,History!C$6,Ledger!$B$7:$B$1006,"&lt;="&amp;$A119)</f>
        <v>220</v>
      </c>
      <c r="D119" s="1">
        <f>SUMIFS(Ledger!$J$7:$J$1006,Ledger!$C$7:$C$1006,Portfolio!$C$5,Ledger!$E$7:$E$1006,History!D$6,Ledger!$B$7:$B$1006,"&lt;="&amp;$A119)</f>
        <v>80</v>
      </c>
      <c r="E119" s="1">
        <f>SUMIFS(Ledger!$J$7:$J$1006,Ledger!$C$7:$C$1006,Portfolio!$C$5,Ledger!$E$7:$E$1006,History!E$6,Ledger!$B$7:$B$1006,"&lt;="&amp;$A119)</f>
        <v>130</v>
      </c>
      <c r="F119" s="1">
        <f>SUMIFS(Ledger!$J$7:$J$1006,Ledger!$C$7:$C$1006,Portfolio!$C$5,Ledger!$E$7:$E$1006,History!F$6,Ledger!$B$7:$B$1006,"&lt;="&amp;$A119)</f>
        <v>480</v>
      </c>
      <c r="G119" s="1">
        <f>SUMIFS(Ledger!$J$7:$J$1006,Ledger!$C$7:$C$1006,Portfolio!$C$5,Ledger!$E$7:$E$1006,History!G$6,Ledger!$B$7:$B$1006,"&lt;="&amp;$A119)</f>
        <v>600</v>
      </c>
      <c r="H119" s="8">
        <f>SUMIFS(Ledger!$K$7:$K$1006,Ledger!$C$7:$C$1006,Portfolio!$C$5,Ledger!$B$7:$B$1006,"&lt;="&amp;$A119)</f>
        <v>43923.58400000001</v>
      </c>
      <c r="I119" s="8">
        <f>IF(S119=6,SUMPRODUCT(B119:G119,History!B119:G119),NA())</f>
        <v>488868.85100000002</v>
      </c>
      <c r="J119" s="8">
        <f t="shared" si="6"/>
        <v>532792.43500000006</v>
      </c>
      <c r="K119" s="8">
        <f>SUMIFS(Ledger!$L$7:$L$1006,Ledger!$C$7:$C$1006,Portfolio!$C$5,Ledger!$B$7:$B$1006,$A119)</f>
        <v>0</v>
      </c>
      <c r="L119" s="10">
        <f>IF(A119&lt;Holdings!$G$24,"",IF(A119=Holdings!$G$24,IF(K119&gt;0,J119/K119-1,NA()),IF(J118&gt;0,(J119-K119)/J118-1,NA())))</f>
        <v>-6.5047174261078089E-3</v>
      </c>
      <c r="M119" s="11">
        <f>IF(A119&lt;Holdings!$G$24,"",IF(A119=Holdings!$G$24,100*(1+L119),M118*(1+L119)))</f>
        <v>99.378848898555532</v>
      </c>
      <c r="N119" s="11">
        <f>IF(A119&lt;Holdings!$G$24,"",IF(A119=Holdings!$G$24,MAX(100,M119),MAX(N118,M119)))</f>
        <v>102.94361845014572</v>
      </c>
      <c r="O119" s="10">
        <f>IF(A119&lt;Holdings!$G$24,"",M119/N119-1)</f>
        <v>-3.4628368472559234E-2</v>
      </c>
      <c r="P119" s="11">
        <f>IF(A119&lt;Holdings!$G$24,"",IF(History!H119&gt;0,History!H119/INDEX(History!$H$7:$H$136,MATCH(Holdings!$G$24,History!$A$7:$A$136,0))*100,NA()))</f>
        <v>97.045725300000001</v>
      </c>
      <c r="Q119" s="10">
        <f>IF(A119&lt;=Holdings!$G$24,"",P119/P118-1)</f>
        <v>-1.254337609538525E-2</v>
      </c>
      <c r="R119" s="8">
        <f>IF(A119&gt;Portfolio!$J$5,0,-K119+IF(A119=Portfolio!$J$5,J119,0))</f>
        <v>0</v>
      </c>
      <c r="S119" s="1">
        <f>COUNTIFS(History!B119:G119,"&gt;0")</f>
        <v>6</v>
      </c>
      <c r="T119" s="1" t="str">
        <f t="shared" si="7"/>
        <v>26-Aug</v>
      </c>
      <c r="U119" s="10">
        <f>IF(AND(A119&lt;=Portfolio!$J$5,A119&gt;=Holdings!$G$24),O119,0)</f>
        <v>-3.4628368472559234E-2</v>
      </c>
      <c r="V119" s="12">
        <f>IF(AND(A119&gt;Holdings!$G$24,A119&lt;=Portfolio!$J$5),L119,"")</f>
        <v>-6.5047174261078089E-3</v>
      </c>
      <c r="W119" s="12">
        <f>IF(AND(A119&gt;Holdings!$G$24,A119&lt;=Portfolio!$J$5),Q119,"")</f>
        <v>-1.254337609538525E-2</v>
      </c>
    </row>
    <row r="120" spans="1:23" ht="19.95" customHeight="1" x14ac:dyDescent="0.3">
      <c r="A120" s="7">
        <v>46261</v>
      </c>
      <c r="B120" s="1">
        <f>SUMIFS(Ledger!$J$7:$J$1006,Ledger!$C$7:$C$1006,Portfolio!$C$5,Ledger!$E$7:$E$1006,History!B$6,Ledger!$B$7:$B$1006,"&lt;="&amp;$A120)</f>
        <v>100</v>
      </c>
      <c r="C120" s="1">
        <f>SUMIFS(Ledger!$J$7:$J$1006,Ledger!$C$7:$C$1006,Portfolio!$C$5,Ledger!$E$7:$E$1006,History!C$6,Ledger!$B$7:$B$1006,"&lt;="&amp;$A120)</f>
        <v>220</v>
      </c>
      <c r="D120" s="1">
        <f>SUMIFS(Ledger!$J$7:$J$1006,Ledger!$C$7:$C$1006,Portfolio!$C$5,Ledger!$E$7:$E$1006,History!D$6,Ledger!$B$7:$B$1006,"&lt;="&amp;$A120)</f>
        <v>80</v>
      </c>
      <c r="E120" s="1">
        <f>SUMIFS(Ledger!$J$7:$J$1006,Ledger!$C$7:$C$1006,Portfolio!$C$5,Ledger!$E$7:$E$1006,History!E$6,Ledger!$B$7:$B$1006,"&lt;="&amp;$A120)</f>
        <v>130</v>
      </c>
      <c r="F120" s="1">
        <f>SUMIFS(Ledger!$J$7:$J$1006,Ledger!$C$7:$C$1006,Portfolio!$C$5,Ledger!$E$7:$E$1006,History!F$6,Ledger!$B$7:$B$1006,"&lt;="&amp;$A120)</f>
        <v>480</v>
      </c>
      <c r="G120" s="1">
        <f>SUMIFS(Ledger!$J$7:$J$1006,Ledger!$C$7:$C$1006,Portfolio!$C$5,Ledger!$E$7:$E$1006,History!G$6,Ledger!$B$7:$B$1006,"&lt;="&amp;$A120)</f>
        <v>600</v>
      </c>
      <c r="H120" s="8">
        <f>SUMIFS(Ledger!$K$7:$K$1006,Ledger!$C$7:$C$1006,Portfolio!$C$5,Ledger!$B$7:$B$1006,"&lt;="&amp;$A120)</f>
        <v>43923.58400000001</v>
      </c>
      <c r="I120" s="8">
        <f>IF(S120=6,SUMPRODUCT(B120:G120,History!B120:G120),NA())</f>
        <v>485152.91999999993</v>
      </c>
      <c r="J120" s="8">
        <f t="shared" si="6"/>
        <v>529076.50399999996</v>
      </c>
      <c r="K120" s="8">
        <f>SUMIFS(Ledger!$L$7:$L$1006,Ledger!$C$7:$C$1006,Portfolio!$C$5,Ledger!$B$7:$B$1006,$A120)</f>
        <v>0</v>
      </c>
      <c r="L120" s="10">
        <f>IF(A120&lt;Holdings!$G$24,"",IF(A120=Holdings!$G$24,IF(K120&gt;0,J120/K120-1,NA()),IF(J119&gt;0,(J120-K120)/J119-1,NA())))</f>
        <v>-6.9744439971264338E-3</v>
      </c>
      <c r="M120" s="11">
        <f>IF(A120&lt;Holdings!$G$24,"",IF(A120=Holdings!$G$24,100*(1+L120),M119*(1+L120)))</f>
        <v>98.685736682413662</v>
      </c>
      <c r="N120" s="11">
        <f>IF(A120&lt;Holdings!$G$24,"",IF(A120=Holdings!$G$24,MAX(100,M120),MAX(N119,M120)))</f>
        <v>102.94361845014572</v>
      </c>
      <c r="O120" s="10">
        <f>IF(A120&lt;Holdings!$G$24,"",M120/N120-1)</f>
        <v>-4.1361298853061945E-2</v>
      </c>
      <c r="P120" s="11">
        <f>IF(A120&lt;Holdings!$G$24,"",IF(History!H120&gt;0,History!H120/INDEX(History!$H$7:$H$136,MATCH(Holdings!$G$24,History!$A$7:$A$136,0))*100,NA()))</f>
        <v>96.373159299999998</v>
      </c>
      <c r="Q120" s="10">
        <f>IF(A120&lt;=Holdings!$G$24,"",P120/P119-1)</f>
        <v>-6.9304031467731786E-3</v>
      </c>
      <c r="R120" s="8">
        <f>IF(A120&gt;Portfolio!$J$5,0,-K120+IF(A120=Portfolio!$J$5,J120,0))</f>
        <v>0</v>
      </c>
      <c r="S120" s="1">
        <f>COUNTIFS(History!B120:G120,"&gt;0")</f>
        <v>6</v>
      </c>
      <c r="T120" s="1" t="str">
        <f t="shared" si="7"/>
        <v>27-Aug</v>
      </c>
      <c r="U120" s="10">
        <f>IF(AND(A120&lt;=Portfolio!$J$5,A120&gt;=Holdings!$G$24),O120,0)</f>
        <v>-4.1361298853061945E-2</v>
      </c>
      <c r="V120" s="12">
        <f>IF(AND(A120&gt;Holdings!$G$24,A120&lt;=Portfolio!$J$5),L120,"")</f>
        <v>-6.9744439971264338E-3</v>
      </c>
      <c r="W120" s="12">
        <f>IF(AND(A120&gt;Holdings!$G$24,A120&lt;=Portfolio!$J$5),Q120,"")</f>
        <v>-6.9304031467731786E-3</v>
      </c>
    </row>
    <row r="121" spans="1:23" ht="19.95" customHeight="1" x14ac:dyDescent="0.3">
      <c r="A121" s="7">
        <v>46262</v>
      </c>
      <c r="B121" s="1">
        <f>SUMIFS(Ledger!$J$7:$J$1006,Ledger!$C$7:$C$1006,Portfolio!$C$5,Ledger!$E$7:$E$1006,History!B$6,Ledger!$B$7:$B$1006,"&lt;="&amp;$A121)</f>
        <v>100</v>
      </c>
      <c r="C121" s="1">
        <f>SUMIFS(Ledger!$J$7:$J$1006,Ledger!$C$7:$C$1006,Portfolio!$C$5,Ledger!$E$7:$E$1006,History!C$6,Ledger!$B$7:$B$1006,"&lt;="&amp;$A121)</f>
        <v>220</v>
      </c>
      <c r="D121" s="1">
        <f>SUMIFS(Ledger!$J$7:$J$1006,Ledger!$C$7:$C$1006,Portfolio!$C$5,Ledger!$E$7:$E$1006,History!D$6,Ledger!$B$7:$B$1006,"&lt;="&amp;$A121)</f>
        <v>80</v>
      </c>
      <c r="E121" s="1">
        <f>SUMIFS(Ledger!$J$7:$J$1006,Ledger!$C$7:$C$1006,Portfolio!$C$5,Ledger!$E$7:$E$1006,History!E$6,Ledger!$B$7:$B$1006,"&lt;="&amp;$A121)</f>
        <v>130</v>
      </c>
      <c r="F121" s="1">
        <f>SUMIFS(Ledger!$J$7:$J$1006,Ledger!$C$7:$C$1006,Portfolio!$C$5,Ledger!$E$7:$E$1006,History!F$6,Ledger!$B$7:$B$1006,"&lt;="&amp;$A121)</f>
        <v>480</v>
      </c>
      <c r="G121" s="1">
        <f>SUMIFS(Ledger!$J$7:$J$1006,Ledger!$C$7:$C$1006,Portfolio!$C$5,Ledger!$E$7:$E$1006,History!G$6,Ledger!$B$7:$B$1006,"&lt;="&amp;$A121)</f>
        <v>600</v>
      </c>
      <c r="H121" s="8">
        <f>SUMIFS(Ledger!$K$7:$K$1006,Ledger!$C$7:$C$1006,Portfolio!$C$5,Ledger!$B$7:$B$1006,"&lt;="&amp;$A121)</f>
        <v>43923.58400000001</v>
      </c>
      <c r="I121" s="8">
        <f>IF(S121=6,SUMPRODUCT(B121:G121,History!B121:G121),NA())</f>
        <v>487320.52799999999</v>
      </c>
      <c r="J121" s="8">
        <f t="shared" si="6"/>
        <v>531244.11199999996</v>
      </c>
      <c r="K121" s="8">
        <f>SUMIFS(Ledger!$L$7:$L$1006,Ledger!$C$7:$C$1006,Portfolio!$C$5,Ledger!$B$7:$B$1006,$A121)</f>
        <v>0</v>
      </c>
      <c r="L121" s="10">
        <f>IF(A121&lt;Holdings!$G$24,"",IF(A121=Holdings!$G$24,IF(K121&gt;0,J121/K121-1,NA()),IF(J120&gt;0,(J121-K121)/J120-1,NA())))</f>
        <v>4.0969651526994166E-3</v>
      </c>
      <c r="M121" s="11">
        <f>IF(A121&lt;Holdings!$G$24,"",IF(A121=Holdings!$G$24,100*(1+L121),M120*(1+L121)))</f>
        <v>99.090048706669975</v>
      </c>
      <c r="N121" s="11">
        <f>IF(A121&lt;Holdings!$G$24,"",IF(A121=Holdings!$G$24,MAX(100,M121),MAX(N120,M121)))</f>
        <v>102.94361845014572</v>
      </c>
      <c r="O121" s="10">
        <f>IF(A121&lt;Holdings!$G$24,"",M121/N121-1)</f>
        <v>-3.7433789500433967E-2</v>
      </c>
      <c r="P121" s="11">
        <f>IF(A121&lt;Holdings!$G$24,"",IF(History!H121&gt;0,History!H121/INDEX(History!$H$7:$H$136,MATCH(Holdings!$G$24,History!$A$7:$A$136,0))*100,NA()))</f>
        <v>97.370688800000011</v>
      </c>
      <c r="Q121" s="10">
        <f>IF(A121&lt;=Holdings!$G$24,"",P121/P120-1)</f>
        <v>1.0350698340134246E-2</v>
      </c>
      <c r="R121" s="8">
        <f>IF(A121&gt;Portfolio!$J$5,0,-K121+IF(A121=Portfolio!$J$5,J121,0))</f>
        <v>0</v>
      </c>
      <c r="S121" s="1">
        <f>COUNTIFS(History!B121:G121,"&gt;0")</f>
        <v>6</v>
      </c>
      <c r="T121" s="1" t="str">
        <f t="shared" si="7"/>
        <v>28-Aug</v>
      </c>
      <c r="U121" s="10">
        <f>IF(AND(A121&lt;=Portfolio!$J$5,A121&gt;=Holdings!$G$24),O121,0)</f>
        <v>-3.7433789500433967E-2</v>
      </c>
      <c r="V121" s="12">
        <f>IF(AND(A121&gt;Holdings!$G$24,A121&lt;=Portfolio!$J$5),L121,"")</f>
        <v>4.0969651526994166E-3</v>
      </c>
      <c r="W121" s="12">
        <f>IF(AND(A121&gt;Holdings!$G$24,A121&lt;=Portfolio!$J$5),Q121,"")</f>
        <v>1.0350698340134246E-2</v>
      </c>
    </row>
    <row r="122" spans="1:23" ht="19.95" customHeight="1" x14ac:dyDescent="0.3">
      <c r="A122" s="7">
        <v>46265</v>
      </c>
      <c r="B122" s="1">
        <f>SUMIFS(Ledger!$J$7:$J$1006,Ledger!$C$7:$C$1006,Portfolio!$C$5,Ledger!$E$7:$E$1006,History!B$6,Ledger!$B$7:$B$1006,"&lt;="&amp;$A122)</f>
        <v>90</v>
      </c>
      <c r="C122" s="1">
        <f>SUMIFS(Ledger!$J$7:$J$1006,Ledger!$C$7:$C$1006,Portfolio!$C$5,Ledger!$E$7:$E$1006,History!C$6,Ledger!$B$7:$B$1006,"&lt;="&amp;$A122)</f>
        <v>220</v>
      </c>
      <c r="D122" s="1">
        <f>SUMIFS(Ledger!$J$7:$J$1006,Ledger!$C$7:$C$1006,Portfolio!$C$5,Ledger!$E$7:$E$1006,History!D$6,Ledger!$B$7:$B$1006,"&lt;="&amp;$A122)</f>
        <v>80</v>
      </c>
      <c r="E122" s="1">
        <f>SUMIFS(Ledger!$J$7:$J$1006,Ledger!$C$7:$C$1006,Portfolio!$C$5,Ledger!$E$7:$E$1006,History!E$6,Ledger!$B$7:$B$1006,"&lt;="&amp;$A122)</f>
        <v>130</v>
      </c>
      <c r="F122" s="1">
        <f>SUMIFS(Ledger!$J$7:$J$1006,Ledger!$C$7:$C$1006,Portfolio!$C$5,Ledger!$E$7:$E$1006,History!F$6,Ledger!$B$7:$B$1006,"&lt;="&amp;$A122)</f>
        <v>480</v>
      </c>
      <c r="G122" s="1">
        <f>SUMIFS(Ledger!$J$7:$J$1006,Ledger!$C$7:$C$1006,Portfolio!$C$5,Ledger!$E$7:$E$1006,History!G$6,Ledger!$B$7:$B$1006,"&lt;="&amp;$A122)</f>
        <v>600</v>
      </c>
      <c r="H122" s="8">
        <f>SUMIFS(Ledger!$K$7:$K$1006,Ledger!$C$7:$C$1006,Portfolio!$C$5,Ledger!$B$7:$B$1006,"&lt;="&amp;$A122)</f>
        <v>49454.401000000013</v>
      </c>
      <c r="I122" s="8">
        <f>IF(S122=6,SUMPRODUCT(B122:G122,History!B122:G122),NA())</f>
        <v>483857.81300000002</v>
      </c>
      <c r="J122" s="8">
        <f t="shared" si="6"/>
        <v>533312.21400000004</v>
      </c>
      <c r="K122" s="8">
        <f>SUMIFS(Ledger!$L$7:$L$1006,Ledger!$C$7:$C$1006,Portfolio!$C$5,Ledger!$B$7:$B$1006,$A122)</f>
        <v>0</v>
      </c>
      <c r="L122" s="10">
        <f>IF(A122&lt;Holdings!$G$24,"",IF(A122=Holdings!$G$24,IF(K122&gt;0,J122/K122-1,NA()),IF(J121&gt;0,(J122-K122)/J121-1,NA())))</f>
        <v>3.8929410289634259E-3</v>
      </c>
      <c r="M122" s="11">
        <f>IF(A122&lt;Holdings!$G$24,"",IF(A122=Holdings!$G$24,100*(1+L122),M121*(1+L122)))</f>
        <v>99.475800422842156</v>
      </c>
      <c r="N122" s="11">
        <f>IF(A122&lt;Holdings!$G$24,"",IF(A122=Holdings!$G$24,MAX(100,M122),MAX(N121,M122)))</f>
        <v>102.94361845014572</v>
      </c>
      <c r="O122" s="10">
        <f>IF(A122&lt;Holdings!$G$24,"",M122/N122-1)</f>
        <v>-3.3686576006486391E-2</v>
      </c>
      <c r="P122" s="11">
        <f>IF(A122&lt;Holdings!$G$24,"",IF(History!H122&gt;0,History!H122/INDEX(History!$H$7:$H$136,MATCH(Holdings!$G$24,History!$A$7:$A$136,0))*100,NA()))</f>
        <v>97.455499099999997</v>
      </c>
      <c r="Q122" s="10">
        <f>IF(A122&lt;=Holdings!$G$24,"",P122/P121-1)</f>
        <v>8.710044166801989E-4</v>
      </c>
      <c r="R122" s="8">
        <f>IF(A122&gt;Portfolio!$J$5,0,-K122+IF(A122=Portfolio!$J$5,J122,0))</f>
        <v>0</v>
      </c>
      <c r="S122" s="1">
        <f>COUNTIFS(History!B122:G122,"&gt;0")</f>
        <v>6</v>
      </c>
      <c r="T122" s="1" t="str">
        <f t="shared" si="7"/>
        <v>31-Aug</v>
      </c>
      <c r="U122" s="10">
        <f>IF(AND(A122&lt;=Portfolio!$J$5,A122&gt;=Holdings!$G$24),O122,0)</f>
        <v>-3.3686576006486391E-2</v>
      </c>
      <c r="V122" s="12">
        <f>IF(AND(A122&gt;Holdings!$G$24,A122&lt;=Portfolio!$J$5),L122,"")</f>
        <v>3.8929410289634259E-3</v>
      </c>
      <c r="W122" s="12">
        <f>IF(AND(A122&gt;Holdings!$G$24,A122&lt;=Portfolio!$J$5),Q122,"")</f>
        <v>8.710044166801989E-4</v>
      </c>
    </row>
    <row r="123" spans="1:23" ht="19.95" customHeight="1" x14ac:dyDescent="0.3">
      <c r="A123" s="7">
        <v>46266</v>
      </c>
      <c r="B123" s="1">
        <f>SUMIFS(Ledger!$J$7:$J$1006,Ledger!$C$7:$C$1006,Portfolio!$C$5,Ledger!$E$7:$E$1006,History!B$6,Ledger!$B$7:$B$1006,"&lt;="&amp;$A123)</f>
        <v>90</v>
      </c>
      <c r="C123" s="1">
        <f>SUMIFS(Ledger!$J$7:$J$1006,Ledger!$C$7:$C$1006,Portfolio!$C$5,Ledger!$E$7:$E$1006,History!C$6,Ledger!$B$7:$B$1006,"&lt;="&amp;$A123)</f>
        <v>220</v>
      </c>
      <c r="D123" s="1">
        <f>SUMIFS(Ledger!$J$7:$J$1006,Ledger!$C$7:$C$1006,Portfolio!$C$5,Ledger!$E$7:$E$1006,History!D$6,Ledger!$B$7:$B$1006,"&lt;="&amp;$A123)</f>
        <v>80</v>
      </c>
      <c r="E123" s="1">
        <f>SUMIFS(Ledger!$J$7:$J$1006,Ledger!$C$7:$C$1006,Portfolio!$C$5,Ledger!$E$7:$E$1006,History!E$6,Ledger!$B$7:$B$1006,"&lt;="&amp;$A123)</f>
        <v>130</v>
      </c>
      <c r="F123" s="1">
        <f>SUMIFS(Ledger!$J$7:$J$1006,Ledger!$C$7:$C$1006,Portfolio!$C$5,Ledger!$E$7:$E$1006,History!F$6,Ledger!$B$7:$B$1006,"&lt;="&amp;$A123)</f>
        <v>480</v>
      </c>
      <c r="G123" s="1">
        <f>SUMIFS(Ledger!$J$7:$J$1006,Ledger!$C$7:$C$1006,Portfolio!$C$5,Ledger!$E$7:$E$1006,History!G$6,Ledger!$B$7:$B$1006,"&lt;="&amp;$A123)</f>
        <v>600</v>
      </c>
      <c r="H123" s="8">
        <f>SUMIFS(Ledger!$K$7:$K$1006,Ledger!$C$7:$C$1006,Portfolio!$C$5,Ledger!$B$7:$B$1006,"&lt;="&amp;$A123)</f>
        <v>49454.401000000013</v>
      </c>
      <c r="I123" s="8">
        <f>IF(S123=6,SUMPRODUCT(B123:G123,History!B123:G123),NA())</f>
        <v>486019.50799999997</v>
      </c>
      <c r="J123" s="8">
        <f t="shared" si="6"/>
        <v>535473.90899999999</v>
      </c>
      <c r="K123" s="8">
        <f>SUMIFS(Ledger!$L$7:$L$1006,Ledger!$C$7:$C$1006,Portfolio!$C$5,Ledger!$B$7:$B$1006,$A123)</f>
        <v>0</v>
      </c>
      <c r="L123" s="10">
        <f>IF(A123&lt;Holdings!$G$24,"",IF(A123=Holdings!$G$24,IF(K123&gt;0,J123/K123-1,NA()),IF(J122&gt;0,(J123-K123)/J122-1,NA())))</f>
        <v>4.0533386321430775E-3</v>
      </c>
      <c r="M123" s="11">
        <f>IF(A123&lt;Holdings!$G$24,"",IF(A123=Holdings!$G$24,100*(1+L123),M122*(1+L123)))</f>
        <v>99.87900952765942</v>
      </c>
      <c r="N123" s="11">
        <f>IF(A123&lt;Holdings!$G$24,"",IF(A123=Holdings!$G$24,MAX(100,M123),MAX(N122,M123)))</f>
        <v>102.94361845014572</v>
      </c>
      <c r="O123" s="10">
        <f>IF(A123&lt;Holdings!$G$24,"",M123/N123-1)</f>
        <v>-2.9769780474254937E-2</v>
      </c>
      <c r="P123" s="11">
        <f>IF(A123&lt;Holdings!$G$24,"",IF(History!H123&gt;0,History!H123/INDEX(History!$H$7:$H$136,MATCH(Holdings!$G$24,History!$A$7:$A$136,0))*100,NA()))</f>
        <v>98.006015099999999</v>
      </c>
      <c r="Q123" s="10">
        <f>IF(A123&lt;=Holdings!$G$24,"",P123/P122-1)</f>
        <v>5.648896215031618E-3</v>
      </c>
      <c r="R123" s="8">
        <f>IF(A123&gt;Portfolio!$J$5,0,-K123+IF(A123=Portfolio!$J$5,J123,0))</f>
        <v>0</v>
      </c>
      <c r="S123" s="1">
        <f>COUNTIFS(History!B123:G123,"&gt;0")</f>
        <v>6</v>
      </c>
      <c r="T123" s="1" t="str">
        <f t="shared" si="7"/>
        <v>01-Sep</v>
      </c>
      <c r="U123" s="10">
        <f>IF(AND(A123&lt;=Portfolio!$J$5,A123&gt;=Holdings!$G$24),O123,0)</f>
        <v>-2.9769780474254937E-2</v>
      </c>
      <c r="V123" s="12">
        <f>IF(AND(A123&gt;Holdings!$G$24,A123&lt;=Portfolio!$J$5),L123,"")</f>
        <v>4.0533386321430775E-3</v>
      </c>
      <c r="W123" s="12">
        <f>IF(AND(A123&gt;Holdings!$G$24,A123&lt;=Portfolio!$J$5),Q123,"")</f>
        <v>5.648896215031618E-3</v>
      </c>
    </row>
    <row r="124" spans="1:23" ht="19.95" customHeight="1" x14ac:dyDescent="0.3">
      <c r="A124" s="7">
        <v>46267</v>
      </c>
      <c r="B124" s="1">
        <f>SUMIFS(Ledger!$J$7:$J$1006,Ledger!$C$7:$C$1006,Portfolio!$C$5,Ledger!$E$7:$E$1006,History!B$6,Ledger!$B$7:$B$1006,"&lt;="&amp;$A124)</f>
        <v>90</v>
      </c>
      <c r="C124" s="1">
        <f>SUMIFS(Ledger!$J$7:$J$1006,Ledger!$C$7:$C$1006,Portfolio!$C$5,Ledger!$E$7:$E$1006,History!C$6,Ledger!$B$7:$B$1006,"&lt;="&amp;$A124)</f>
        <v>220</v>
      </c>
      <c r="D124" s="1">
        <f>SUMIFS(Ledger!$J$7:$J$1006,Ledger!$C$7:$C$1006,Portfolio!$C$5,Ledger!$E$7:$E$1006,History!D$6,Ledger!$B$7:$B$1006,"&lt;="&amp;$A124)</f>
        <v>80</v>
      </c>
      <c r="E124" s="1">
        <f>SUMIFS(Ledger!$J$7:$J$1006,Ledger!$C$7:$C$1006,Portfolio!$C$5,Ledger!$E$7:$E$1006,History!E$6,Ledger!$B$7:$B$1006,"&lt;="&amp;$A124)</f>
        <v>130</v>
      </c>
      <c r="F124" s="1">
        <f>SUMIFS(Ledger!$J$7:$J$1006,Ledger!$C$7:$C$1006,Portfolio!$C$5,Ledger!$E$7:$E$1006,History!F$6,Ledger!$B$7:$B$1006,"&lt;="&amp;$A124)</f>
        <v>480</v>
      </c>
      <c r="G124" s="1">
        <f>SUMIFS(Ledger!$J$7:$J$1006,Ledger!$C$7:$C$1006,Portfolio!$C$5,Ledger!$E$7:$E$1006,History!G$6,Ledger!$B$7:$B$1006,"&lt;="&amp;$A124)</f>
        <v>600</v>
      </c>
      <c r="H124" s="8">
        <f>SUMIFS(Ledger!$K$7:$K$1006,Ledger!$C$7:$C$1006,Portfolio!$C$5,Ledger!$B$7:$B$1006,"&lt;="&amp;$A124)</f>
        <v>49454.401000000013</v>
      </c>
      <c r="I124" s="8">
        <f>IF(S124=6,SUMPRODUCT(B124:G124,History!B124:G124),NA())</f>
        <v>487833.93800000002</v>
      </c>
      <c r="J124" s="8">
        <f t="shared" si="6"/>
        <v>537288.33900000004</v>
      </c>
      <c r="K124" s="8">
        <f>SUMIFS(Ledger!$L$7:$L$1006,Ledger!$C$7:$C$1006,Portfolio!$C$5,Ledger!$B$7:$B$1006,$A124)</f>
        <v>0</v>
      </c>
      <c r="L124" s="10">
        <f>IF(A124&lt;Holdings!$G$24,"",IF(A124=Holdings!$G$24,IF(K124&gt;0,J124/K124-1,NA()),IF(J123&gt;0,(J124-K124)/J123-1,NA())))</f>
        <v>3.3884564112349747E-3</v>
      </c>
      <c r="M124" s="11">
        <f>IF(A124&lt;Holdings!$G$24,"",IF(A124=Holdings!$G$24,100*(1+L124),M123*(1+L124)))</f>
        <v>100.21744519784122</v>
      </c>
      <c r="N124" s="11">
        <f>IF(A124&lt;Holdings!$G$24,"",IF(A124=Holdings!$G$24,MAX(100,M124),MAX(N123,M124)))</f>
        <v>102.94361845014572</v>
      </c>
      <c r="O124" s="10">
        <f>IF(A124&lt;Holdings!$G$24,"",M124/N124-1)</f>
        <v>-2.6482197666529039E-2</v>
      </c>
      <c r="P124" s="11">
        <f>IF(A124&lt;Holdings!$G$24,"",IF(History!H124&gt;0,History!H124/INDEX(History!$H$7:$H$136,MATCH(Holdings!$G$24,History!$A$7:$A$136,0))*100,NA()))</f>
        <v>97.862048299999998</v>
      </c>
      <c r="Q124" s="10">
        <f>IF(A124&lt;=Holdings!$G$24,"",P124/P123-1)</f>
        <v>-1.468958816998156E-3</v>
      </c>
      <c r="R124" s="8">
        <f>IF(A124&gt;Portfolio!$J$5,0,-K124+IF(A124=Portfolio!$J$5,J124,0))</f>
        <v>0</v>
      </c>
      <c r="S124" s="1">
        <f>COUNTIFS(History!B124:G124,"&gt;0")</f>
        <v>6</v>
      </c>
      <c r="T124" s="1" t="str">
        <f t="shared" si="7"/>
        <v>02-Sep</v>
      </c>
      <c r="U124" s="10">
        <f>IF(AND(A124&lt;=Portfolio!$J$5,A124&gt;=Holdings!$G$24),O124,0)</f>
        <v>-2.6482197666529039E-2</v>
      </c>
      <c r="V124" s="12">
        <f>IF(AND(A124&gt;Holdings!$G$24,A124&lt;=Portfolio!$J$5),L124,"")</f>
        <v>3.3884564112349747E-3</v>
      </c>
      <c r="W124" s="12">
        <f>IF(AND(A124&gt;Holdings!$G$24,A124&lt;=Portfolio!$J$5),Q124,"")</f>
        <v>-1.468958816998156E-3</v>
      </c>
    </row>
    <row r="125" spans="1:23" ht="19.95" customHeight="1" x14ac:dyDescent="0.3">
      <c r="A125" s="7">
        <v>46268</v>
      </c>
      <c r="B125" s="1">
        <f>SUMIFS(Ledger!$J$7:$J$1006,Ledger!$C$7:$C$1006,Portfolio!$C$5,Ledger!$E$7:$E$1006,History!B$6,Ledger!$B$7:$B$1006,"&lt;="&amp;$A125)</f>
        <v>90</v>
      </c>
      <c r="C125" s="1">
        <f>SUMIFS(Ledger!$J$7:$J$1006,Ledger!$C$7:$C$1006,Portfolio!$C$5,Ledger!$E$7:$E$1006,History!C$6,Ledger!$B$7:$B$1006,"&lt;="&amp;$A125)</f>
        <v>220</v>
      </c>
      <c r="D125" s="1">
        <f>SUMIFS(Ledger!$J$7:$J$1006,Ledger!$C$7:$C$1006,Portfolio!$C$5,Ledger!$E$7:$E$1006,History!D$6,Ledger!$B$7:$B$1006,"&lt;="&amp;$A125)</f>
        <v>80</v>
      </c>
      <c r="E125" s="1">
        <f>SUMIFS(Ledger!$J$7:$J$1006,Ledger!$C$7:$C$1006,Portfolio!$C$5,Ledger!$E$7:$E$1006,History!E$6,Ledger!$B$7:$B$1006,"&lt;="&amp;$A125)</f>
        <v>130</v>
      </c>
      <c r="F125" s="1">
        <f>SUMIFS(Ledger!$J$7:$J$1006,Ledger!$C$7:$C$1006,Portfolio!$C$5,Ledger!$E$7:$E$1006,History!F$6,Ledger!$B$7:$B$1006,"&lt;="&amp;$A125)</f>
        <v>480</v>
      </c>
      <c r="G125" s="1">
        <f>SUMIFS(Ledger!$J$7:$J$1006,Ledger!$C$7:$C$1006,Portfolio!$C$5,Ledger!$E$7:$E$1006,History!G$6,Ledger!$B$7:$B$1006,"&lt;="&amp;$A125)</f>
        <v>600</v>
      </c>
      <c r="H125" s="8">
        <f>SUMIFS(Ledger!$K$7:$K$1006,Ledger!$C$7:$C$1006,Portfolio!$C$5,Ledger!$B$7:$B$1006,"&lt;="&amp;$A125)</f>
        <v>49454.401000000013</v>
      </c>
      <c r="I125" s="8">
        <f>IF(S125=6,SUMPRODUCT(B125:G125,History!B125:G125),NA())</f>
        <v>486823.98300000001</v>
      </c>
      <c r="J125" s="8">
        <f t="shared" si="6"/>
        <v>536278.38400000008</v>
      </c>
      <c r="K125" s="8">
        <f>SUMIFS(Ledger!$L$7:$L$1006,Ledger!$C$7:$C$1006,Portfolio!$C$5,Ledger!$B$7:$B$1006,$A125)</f>
        <v>0</v>
      </c>
      <c r="L125" s="10">
        <f>IF(A125&lt;Holdings!$G$24,"",IF(A125=Holdings!$G$24,IF(K125&gt;0,J125/K125-1,NA()),IF(J124&gt;0,(J125-K125)/J124-1,NA())))</f>
        <v>-1.8797262599811182E-3</v>
      </c>
      <c r="M125" s="11">
        <f>IF(A125&lt;Holdings!$G$24,"",IF(A125=Holdings!$G$24,100*(1+L125),M124*(1+L125)))</f>
        <v>100.02906383439462</v>
      </c>
      <c r="N125" s="11">
        <f>IF(A125&lt;Holdings!$G$24,"",IF(A125=Holdings!$G$24,MAX(100,M125),MAX(N124,M125)))</f>
        <v>102.94361845014572</v>
      </c>
      <c r="O125" s="10">
        <f>IF(A125&lt;Holdings!$G$24,"",M125/N125-1)</f>
        <v>-2.8312144644134341E-2</v>
      </c>
      <c r="P125" s="11">
        <f>IF(A125&lt;Holdings!$G$24,"",IF(History!H125&gt;0,History!H125/INDEX(History!$H$7:$H$136,MATCH(Holdings!$G$24,History!$A$7:$A$136,0))*100,NA()))</f>
        <v>97.995535900000007</v>
      </c>
      <c r="Q125" s="10">
        <f>IF(A125&lt;=Holdings!$G$24,"",P125/P124-1)</f>
        <v>1.3640384839563868E-3</v>
      </c>
      <c r="R125" s="8">
        <f>IF(A125&gt;Portfolio!$J$5,0,-K125+IF(A125=Portfolio!$J$5,J125,0))</f>
        <v>0</v>
      </c>
      <c r="S125" s="1">
        <f>COUNTIFS(History!B125:G125,"&gt;0")</f>
        <v>6</v>
      </c>
      <c r="T125" s="1" t="str">
        <f t="shared" si="7"/>
        <v>03-Sep</v>
      </c>
      <c r="U125" s="10">
        <f>IF(AND(A125&lt;=Portfolio!$J$5,A125&gt;=Holdings!$G$24),O125,0)</f>
        <v>-2.8312144644134341E-2</v>
      </c>
      <c r="V125" s="12">
        <f>IF(AND(A125&gt;Holdings!$G$24,A125&lt;=Portfolio!$J$5),L125,"")</f>
        <v>-1.8797262599811182E-3</v>
      </c>
      <c r="W125" s="12">
        <f>IF(AND(A125&gt;Holdings!$G$24,A125&lt;=Portfolio!$J$5),Q125,"")</f>
        <v>1.3640384839563868E-3</v>
      </c>
    </row>
    <row r="126" spans="1:23" ht="19.95" customHeight="1" x14ac:dyDescent="0.3">
      <c r="A126" s="7">
        <v>46269</v>
      </c>
      <c r="B126" s="1">
        <f>SUMIFS(Ledger!$J$7:$J$1006,Ledger!$C$7:$C$1006,Portfolio!$C$5,Ledger!$E$7:$E$1006,History!B$6,Ledger!$B$7:$B$1006,"&lt;="&amp;$A126)</f>
        <v>90</v>
      </c>
      <c r="C126" s="1">
        <f>SUMIFS(Ledger!$J$7:$J$1006,Ledger!$C$7:$C$1006,Portfolio!$C$5,Ledger!$E$7:$E$1006,History!C$6,Ledger!$B$7:$B$1006,"&lt;="&amp;$A126)</f>
        <v>220</v>
      </c>
      <c r="D126" s="1">
        <f>SUMIFS(Ledger!$J$7:$J$1006,Ledger!$C$7:$C$1006,Portfolio!$C$5,Ledger!$E$7:$E$1006,History!D$6,Ledger!$B$7:$B$1006,"&lt;="&amp;$A126)</f>
        <v>80</v>
      </c>
      <c r="E126" s="1">
        <f>SUMIFS(Ledger!$J$7:$J$1006,Ledger!$C$7:$C$1006,Portfolio!$C$5,Ledger!$E$7:$E$1006,History!E$6,Ledger!$B$7:$B$1006,"&lt;="&amp;$A126)</f>
        <v>130</v>
      </c>
      <c r="F126" s="1">
        <f>SUMIFS(Ledger!$J$7:$J$1006,Ledger!$C$7:$C$1006,Portfolio!$C$5,Ledger!$E$7:$E$1006,History!F$6,Ledger!$B$7:$B$1006,"&lt;="&amp;$A126)</f>
        <v>480</v>
      </c>
      <c r="G126" s="1">
        <f>SUMIFS(Ledger!$J$7:$J$1006,Ledger!$C$7:$C$1006,Portfolio!$C$5,Ledger!$E$7:$E$1006,History!G$6,Ledger!$B$7:$B$1006,"&lt;="&amp;$A126)</f>
        <v>600</v>
      </c>
      <c r="H126" s="8">
        <f>SUMIFS(Ledger!$K$7:$K$1006,Ledger!$C$7:$C$1006,Portfolio!$C$5,Ledger!$B$7:$B$1006,"&lt;="&amp;$A126)</f>
        <v>49454.401000000013</v>
      </c>
      <c r="I126" s="8">
        <f>IF(S126=6,SUMPRODUCT(B126:G126,History!B126:G126),NA())</f>
        <v>490412.28700000001</v>
      </c>
      <c r="J126" s="8">
        <f t="shared" si="6"/>
        <v>539866.68800000008</v>
      </c>
      <c r="K126" s="8">
        <f>SUMIFS(Ledger!$L$7:$L$1006,Ledger!$C$7:$C$1006,Portfolio!$C$5,Ledger!$B$7:$B$1006,$A126)</f>
        <v>0</v>
      </c>
      <c r="L126" s="10">
        <f>IF(A126&lt;Holdings!$G$24,"",IF(A126=Holdings!$G$24,IF(K126&gt;0,J126/K126-1,NA()),IF(J125&gt;0,(J126-K126)/J125-1,NA())))</f>
        <v>6.6911218260103933E-3</v>
      </c>
      <c r="M126" s="11">
        <f>IF(A126&lt;Holdings!$G$24,"",IF(A126=Holdings!$G$24,100*(1+L126),M125*(1+L126)))</f>
        <v>100.69837048665232</v>
      </c>
      <c r="N126" s="11">
        <f>IF(A126&lt;Holdings!$G$24,"",IF(A126=Holdings!$G$24,MAX(100,M126),MAX(N125,M126)))</f>
        <v>102.94361845014572</v>
      </c>
      <c r="O126" s="10">
        <f>IF(A126&lt;Holdings!$G$24,"",M126/N126-1)</f>
        <v>-2.1810462827093535E-2</v>
      </c>
      <c r="P126" s="11">
        <f>IF(A126&lt;Holdings!$G$24,"",IF(History!H126&gt;0,History!H126/INDEX(History!$H$7:$H$136,MATCH(Holdings!$G$24,History!$A$7:$A$136,0))*100,NA()))</f>
        <v>98.773055299999996</v>
      </c>
      <c r="Q126" s="10">
        <f>IF(A126&lt;=Holdings!$G$24,"",P126/P125-1)</f>
        <v>7.934232849069911E-3</v>
      </c>
      <c r="R126" s="8">
        <f>IF(A126&gt;Portfolio!$J$5,0,-K126+IF(A126=Portfolio!$J$5,J126,0))</f>
        <v>0</v>
      </c>
      <c r="S126" s="1">
        <f>COUNTIFS(History!B126:G126,"&gt;0")</f>
        <v>6</v>
      </c>
      <c r="T126" s="1" t="str">
        <f t="shared" si="7"/>
        <v>04-Sep</v>
      </c>
      <c r="U126" s="10">
        <f>IF(AND(A126&lt;=Portfolio!$J$5,A126&gt;=Holdings!$G$24),O126,0)</f>
        <v>-2.1810462827093535E-2</v>
      </c>
      <c r="V126" s="12">
        <f>IF(AND(A126&gt;Holdings!$G$24,A126&lt;=Portfolio!$J$5),L126,"")</f>
        <v>6.6911218260103933E-3</v>
      </c>
      <c r="W126" s="12">
        <f>IF(AND(A126&gt;Holdings!$G$24,A126&lt;=Portfolio!$J$5),Q126,"")</f>
        <v>7.934232849069911E-3</v>
      </c>
    </row>
    <row r="127" spans="1:23" ht="19.95" customHeight="1" x14ac:dyDescent="0.3">
      <c r="A127" s="7">
        <v>46272</v>
      </c>
      <c r="B127" s="1">
        <f>SUMIFS(Ledger!$J$7:$J$1006,Ledger!$C$7:$C$1006,Portfolio!$C$5,Ledger!$E$7:$E$1006,History!B$6,Ledger!$B$7:$B$1006,"&lt;="&amp;$A127)</f>
        <v>90</v>
      </c>
      <c r="C127" s="1">
        <f>SUMIFS(Ledger!$J$7:$J$1006,Ledger!$C$7:$C$1006,Portfolio!$C$5,Ledger!$E$7:$E$1006,History!C$6,Ledger!$B$7:$B$1006,"&lt;="&amp;$A127)</f>
        <v>220</v>
      </c>
      <c r="D127" s="1">
        <f>SUMIFS(Ledger!$J$7:$J$1006,Ledger!$C$7:$C$1006,Portfolio!$C$5,Ledger!$E$7:$E$1006,History!D$6,Ledger!$B$7:$B$1006,"&lt;="&amp;$A127)</f>
        <v>80</v>
      </c>
      <c r="E127" s="1">
        <f>SUMIFS(Ledger!$J$7:$J$1006,Ledger!$C$7:$C$1006,Portfolio!$C$5,Ledger!$E$7:$E$1006,History!E$6,Ledger!$B$7:$B$1006,"&lt;="&amp;$A127)</f>
        <v>130</v>
      </c>
      <c r="F127" s="1">
        <f>SUMIFS(Ledger!$J$7:$J$1006,Ledger!$C$7:$C$1006,Portfolio!$C$5,Ledger!$E$7:$E$1006,History!F$6,Ledger!$B$7:$B$1006,"&lt;="&amp;$A127)</f>
        <v>480</v>
      </c>
      <c r="G127" s="1">
        <f>SUMIFS(Ledger!$J$7:$J$1006,Ledger!$C$7:$C$1006,Portfolio!$C$5,Ledger!$E$7:$E$1006,History!G$6,Ledger!$B$7:$B$1006,"&lt;="&amp;$A127)</f>
        <v>600</v>
      </c>
      <c r="H127" s="8">
        <f>SUMIFS(Ledger!$K$7:$K$1006,Ledger!$C$7:$C$1006,Portfolio!$C$5,Ledger!$B$7:$B$1006,"&lt;="&amp;$A127)</f>
        <v>49454.401000000013</v>
      </c>
      <c r="I127" s="8">
        <f>IF(S127=6,SUMPRODUCT(B127:G127,History!B127:G127),NA())</f>
        <v>490849.94199999998</v>
      </c>
      <c r="J127" s="8">
        <f t="shared" si="6"/>
        <v>540304.34299999999</v>
      </c>
      <c r="K127" s="8">
        <f>SUMIFS(Ledger!$L$7:$L$1006,Ledger!$C$7:$C$1006,Portfolio!$C$5,Ledger!$B$7:$B$1006,$A127)</f>
        <v>0</v>
      </c>
      <c r="L127" s="10">
        <f>IF(A127&lt;Holdings!$G$24,"",IF(A127=Holdings!$G$24,IF(K127&gt;0,J127/K127-1,NA()),IF(J126&gt;0,(J127-K127)/J126-1,NA())))</f>
        <v>8.1067235620935207E-4</v>
      </c>
      <c r="M127" s="11">
        <f>IF(A127&lt;Holdings!$G$24,"",IF(A127=Holdings!$G$24,100*(1+L127),M126*(1+L127)))</f>
        <v>100.78000387192118</v>
      </c>
      <c r="N127" s="11">
        <f>IF(A127&lt;Holdings!$G$24,"",IF(A127=Holdings!$G$24,MAX(100,M127),MAX(N126,M127)))</f>
        <v>102.94361845014572</v>
      </c>
      <c r="O127" s="10">
        <f>IF(A127&lt;Holdings!$G$24,"",M127/N127-1)</f>
        <v>-2.1017471610174199E-2</v>
      </c>
      <c r="P127" s="11">
        <f>IF(A127&lt;Holdings!$G$24,"",IF(History!H127&gt;0,History!H127/INDEX(History!$H$7:$H$136,MATCH(Holdings!$G$24,History!$A$7:$A$136,0))*100,NA()))</f>
        <v>99.2424575</v>
      </c>
      <c r="Q127" s="10">
        <f>IF(A127&lt;=Holdings!$G$24,"",P127/P126-1)</f>
        <v>4.7523304667886901E-3</v>
      </c>
      <c r="R127" s="8">
        <f>IF(A127&gt;Portfolio!$J$5,0,-K127+IF(A127=Portfolio!$J$5,J127,0))</f>
        <v>0</v>
      </c>
      <c r="S127" s="1">
        <f>COUNTIFS(History!B127:G127,"&gt;0")</f>
        <v>6</v>
      </c>
      <c r="T127" s="1" t="str">
        <f t="shared" si="7"/>
        <v>07-Sep</v>
      </c>
      <c r="U127" s="10">
        <f>IF(AND(A127&lt;=Portfolio!$J$5,A127&gt;=Holdings!$G$24),O127,0)</f>
        <v>-2.1017471610174199E-2</v>
      </c>
      <c r="V127" s="12">
        <f>IF(AND(A127&gt;Holdings!$G$24,A127&lt;=Portfolio!$J$5),L127,"")</f>
        <v>8.1067235620935207E-4</v>
      </c>
      <c r="W127" s="12">
        <f>IF(AND(A127&gt;Holdings!$G$24,A127&lt;=Portfolio!$J$5),Q127,"")</f>
        <v>4.7523304667886901E-3</v>
      </c>
    </row>
    <row r="128" spans="1:23" ht="19.95" customHeight="1" x14ac:dyDescent="0.3">
      <c r="A128" s="7">
        <v>46273</v>
      </c>
      <c r="B128" s="1">
        <f>SUMIFS(Ledger!$J$7:$J$1006,Ledger!$C$7:$C$1006,Portfolio!$C$5,Ledger!$E$7:$E$1006,History!B$6,Ledger!$B$7:$B$1006,"&lt;="&amp;$A128)</f>
        <v>90</v>
      </c>
      <c r="C128" s="1">
        <f>SUMIFS(Ledger!$J$7:$J$1006,Ledger!$C$7:$C$1006,Portfolio!$C$5,Ledger!$E$7:$E$1006,History!C$6,Ledger!$B$7:$B$1006,"&lt;="&amp;$A128)</f>
        <v>220</v>
      </c>
      <c r="D128" s="1">
        <f>SUMIFS(Ledger!$J$7:$J$1006,Ledger!$C$7:$C$1006,Portfolio!$C$5,Ledger!$E$7:$E$1006,History!D$6,Ledger!$B$7:$B$1006,"&lt;="&amp;$A128)</f>
        <v>80</v>
      </c>
      <c r="E128" s="1">
        <f>SUMIFS(Ledger!$J$7:$J$1006,Ledger!$C$7:$C$1006,Portfolio!$C$5,Ledger!$E$7:$E$1006,History!E$6,Ledger!$B$7:$B$1006,"&lt;="&amp;$A128)</f>
        <v>130</v>
      </c>
      <c r="F128" s="1">
        <f>SUMIFS(Ledger!$J$7:$J$1006,Ledger!$C$7:$C$1006,Portfolio!$C$5,Ledger!$E$7:$E$1006,History!F$6,Ledger!$B$7:$B$1006,"&lt;="&amp;$A128)</f>
        <v>480</v>
      </c>
      <c r="G128" s="1">
        <f>SUMIFS(Ledger!$J$7:$J$1006,Ledger!$C$7:$C$1006,Portfolio!$C$5,Ledger!$E$7:$E$1006,History!G$6,Ledger!$B$7:$B$1006,"&lt;="&amp;$A128)</f>
        <v>600</v>
      </c>
      <c r="H128" s="8">
        <f>SUMIFS(Ledger!$K$7:$K$1006,Ledger!$C$7:$C$1006,Portfolio!$C$5,Ledger!$B$7:$B$1006,"&lt;="&amp;$A128)</f>
        <v>49454.401000000013</v>
      </c>
      <c r="I128" s="8">
        <f>IF(S128=6,SUMPRODUCT(B128:G128,History!B128:G128),NA())</f>
        <v>491732.02499999997</v>
      </c>
      <c r="J128" s="8">
        <f t="shared" si="6"/>
        <v>541186.42599999998</v>
      </c>
      <c r="K128" s="8">
        <f>SUMIFS(Ledger!$L$7:$L$1006,Ledger!$C$7:$C$1006,Portfolio!$C$5,Ledger!$B$7:$B$1006,$A128)</f>
        <v>0</v>
      </c>
      <c r="L128" s="10">
        <f>IF(A128&lt;Holdings!$G$24,"",IF(A128=Holdings!$G$24,IF(K128&gt;0,J128/K128-1,NA()),IF(J127&gt;0,(J128-K128)/J127-1,NA())))</f>
        <v>1.6325669253411945E-3</v>
      </c>
      <c r="M128" s="11">
        <f>IF(A128&lt;Holdings!$G$24,"",IF(A128=Holdings!$G$24,100*(1+L128),M127*(1+L128)))</f>
        <v>100.94453397297823</v>
      </c>
      <c r="N128" s="11">
        <f>IF(A128&lt;Holdings!$G$24,"",IF(A128=Holdings!$G$24,MAX(100,M128),MAX(N127,M128)))</f>
        <v>102.94361845014572</v>
      </c>
      <c r="O128" s="10">
        <f>IF(A128&lt;Holdings!$G$24,"",M128/N128-1)</f>
        <v>-1.9419217113838094E-2</v>
      </c>
      <c r="P128" s="11">
        <f>IF(A128&lt;Holdings!$G$24,"",IF(History!H128&gt;0,History!H128/INDEX(History!$H$7:$H$136,MATCH(Holdings!$G$24,History!$A$7:$A$136,0))*100,NA()))</f>
        <v>99.562190100000009</v>
      </c>
      <c r="Q128" s="10">
        <f>IF(A128&lt;=Holdings!$G$24,"",P128/P127-1)</f>
        <v>3.2217319890532892E-3</v>
      </c>
      <c r="R128" s="8">
        <f>IF(A128&gt;Portfolio!$J$5,0,-K128+IF(A128=Portfolio!$J$5,J128,0))</f>
        <v>0</v>
      </c>
      <c r="S128" s="1">
        <f>COUNTIFS(History!B128:G128,"&gt;0")</f>
        <v>6</v>
      </c>
      <c r="T128" s="1" t="str">
        <f t="shared" si="7"/>
        <v>08-Sep</v>
      </c>
      <c r="U128" s="10">
        <f>IF(AND(A128&lt;=Portfolio!$J$5,A128&gt;=Holdings!$G$24),O128,0)</f>
        <v>-1.9419217113838094E-2</v>
      </c>
      <c r="V128" s="12">
        <f>IF(AND(A128&gt;Holdings!$G$24,A128&lt;=Portfolio!$J$5),L128,"")</f>
        <v>1.6325669253411945E-3</v>
      </c>
      <c r="W128" s="12">
        <f>IF(AND(A128&gt;Holdings!$G$24,A128&lt;=Portfolio!$J$5),Q128,"")</f>
        <v>3.2217319890532892E-3</v>
      </c>
    </row>
    <row r="129" spans="1:23" ht="19.95" customHeight="1" x14ac:dyDescent="0.3">
      <c r="A129" s="7">
        <v>46274</v>
      </c>
      <c r="B129" s="1">
        <f>SUMIFS(Ledger!$J$7:$J$1006,Ledger!$C$7:$C$1006,Portfolio!$C$5,Ledger!$E$7:$E$1006,History!B$6,Ledger!$B$7:$B$1006,"&lt;="&amp;$A129)</f>
        <v>90</v>
      </c>
      <c r="C129" s="1">
        <f>SUMIFS(Ledger!$J$7:$J$1006,Ledger!$C$7:$C$1006,Portfolio!$C$5,Ledger!$E$7:$E$1006,History!C$6,Ledger!$B$7:$B$1006,"&lt;="&amp;$A129)</f>
        <v>220</v>
      </c>
      <c r="D129" s="1">
        <f>SUMIFS(Ledger!$J$7:$J$1006,Ledger!$C$7:$C$1006,Portfolio!$C$5,Ledger!$E$7:$E$1006,History!D$6,Ledger!$B$7:$B$1006,"&lt;="&amp;$A129)</f>
        <v>80</v>
      </c>
      <c r="E129" s="1">
        <f>SUMIFS(Ledger!$J$7:$J$1006,Ledger!$C$7:$C$1006,Portfolio!$C$5,Ledger!$E$7:$E$1006,History!E$6,Ledger!$B$7:$B$1006,"&lt;="&amp;$A129)</f>
        <v>130</v>
      </c>
      <c r="F129" s="1">
        <f>SUMIFS(Ledger!$J$7:$J$1006,Ledger!$C$7:$C$1006,Portfolio!$C$5,Ledger!$E$7:$E$1006,History!F$6,Ledger!$B$7:$B$1006,"&lt;="&amp;$A129)</f>
        <v>480</v>
      </c>
      <c r="G129" s="1">
        <f>SUMIFS(Ledger!$J$7:$J$1006,Ledger!$C$7:$C$1006,Portfolio!$C$5,Ledger!$E$7:$E$1006,History!G$6,Ledger!$B$7:$B$1006,"&lt;="&amp;$A129)</f>
        <v>600</v>
      </c>
      <c r="H129" s="8">
        <f>SUMIFS(Ledger!$K$7:$K$1006,Ledger!$C$7:$C$1006,Portfolio!$C$5,Ledger!$B$7:$B$1006,"&lt;="&amp;$A129)</f>
        <v>49454.401000000013</v>
      </c>
      <c r="I129" s="8">
        <f>IF(S129=6,SUMPRODUCT(B129:G129,History!B129:G129),NA())</f>
        <v>495888.36599999992</v>
      </c>
      <c r="J129" s="8">
        <f t="shared" si="6"/>
        <v>545342.76699999999</v>
      </c>
      <c r="K129" s="8">
        <f>SUMIFS(Ledger!$L$7:$L$1006,Ledger!$C$7:$C$1006,Portfolio!$C$5,Ledger!$B$7:$B$1006,$A129)</f>
        <v>0</v>
      </c>
      <c r="L129" s="10">
        <f>IF(A129&lt;Holdings!$G$24,"",IF(A129=Holdings!$G$24,IF(K129&gt;0,J129/K129-1,NA()),IF(J128&gt;0,(J129-K129)/J128-1,NA())))</f>
        <v>7.6800540448145327E-3</v>
      </c>
      <c r="M129" s="11">
        <f>IF(A129&lt;Holdings!$G$24,"",IF(A129=Holdings!$G$24,100*(1+L129),M128*(1+L129)))</f>
        <v>101.71979344941933</v>
      </c>
      <c r="N129" s="11">
        <f>IF(A129&lt;Holdings!$G$24,"",IF(A129=Holdings!$G$24,MAX(100,M129),MAX(N128,M129)))</f>
        <v>102.94361845014572</v>
      </c>
      <c r="O129" s="10">
        <f>IF(A129&lt;Holdings!$G$24,"",M129/N129-1)</f>
        <v>-1.1888303705965719E-2</v>
      </c>
      <c r="P129" s="11">
        <f>IF(A129&lt;Holdings!$G$24,"",IF(History!H129&gt;0,History!H129/INDEX(History!$H$7:$H$136,MATCH(Holdings!$G$24,History!$A$7:$A$136,0))*100,NA()))</f>
        <v>99.824381700000004</v>
      </c>
      <c r="Q129" s="10">
        <f>IF(A129&lt;=Holdings!$G$24,"",P129/P128-1)</f>
        <v>2.6334454850445166E-3</v>
      </c>
      <c r="R129" s="8">
        <f>IF(A129&gt;Portfolio!$J$5,0,-K129+IF(A129=Portfolio!$J$5,J129,0))</f>
        <v>0</v>
      </c>
      <c r="S129" s="1">
        <f>COUNTIFS(History!B129:G129,"&gt;0")</f>
        <v>6</v>
      </c>
      <c r="T129" s="1" t="str">
        <f t="shared" si="7"/>
        <v>09-Sep</v>
      </c>
      <c r="U129" s="10">
        <f>IF(AND(A129&lt;=Portfolio!$J$5,A129&gt;=Holdings!$G$24),O129,0)</f>
        <v>-1.1888303705965719E-2</v>
      </c>
      <c r="V129" s="12">
        <f>IF(AND(A129&gt;Holdings!$G$24,A129&lt;=Portfolio!$J$5),L129,"")</f>
        <v>7.6800540448145327E-3</v>
      </c>
      <c r="W129" s="12">
        <f>IF(AND(A129&gt;Holdings!$G$24,A129&lt;=Portfolio!$J$5),Q129,"")</f>
        <v>2.6334454850445166E-3</v>
      </c>
    </row>
    <row r="130" spans="1:23" ht="19.95" customHeight="1" x14ac:dyDescent="0.3">
      <c r="A130" s="7">
        <v>46275</v>
      </c>
      <c r="B130" s="1">
        <f>SUMIFS(Ledger!$J$7:$J$1006,Ledger!$C$7:$C$1006,Portfolio!$C$5,Ledger!$E$7:$E$1006,History!B$6,Ledger!$B$7:$B$1006,"&lt;="&amp;$A130)</f>
        <v>90</v>
      </c>
      <c r="C130" s="1">
        <f>SUMIFS(Ledger!$J$7:$J$1006,Ledger!$C$7:$C$1006,Portfolio!$C$5,Ledger!$E$7:$E$1006,History!C$6,Ledger!$B$7:$B$1006,"&lt;="&amp;$A130)</f>
        <v>220</v>
      </c>
      <c r="D130" s="1">
        <f>SUMIFS(Ledger!$J$7:$J$1006,Ledger!$C$7:$C$1006,Portfolio!$C$5,Ledger!$E$7:$E$1006,History!D$6,Ledger!$B$7:$B$1006,"&lt;="&amp;$A130)</f>
        <v>80</v>
      </c>
      <c r="E130" s="1">
        <f>SUMIFS(Ledger!$J$7:$J$1006,Ledger!$C$7:$C$1006,Portfolio!$C$5,Ledger!$E$7:$E$1006,History!E$6,Ledger!$B$7:$B$1006,"&lt;="&amp;$A130)</f>
        <v>130</v>
      </c>
      <c r="F130" s="1">
        <f>SUMIFS(Ledger!$J$7:$J$1006,Ledger!$C$7:$C$1006,Portfolio!$C$5,Ledger!$E$7:$E$1006,History!F$6,Ledger!$B$7:$B$1006,"&lt;="&amp;$A130)</f>
        <v>480</v>
      </c>
      <c r="G130" s="1">
        <f>SUMIFS(Ledger!$J$7:$J$1006,Ledger!$C$7:$C$1006,Portfolio!$C$5,Ledger!$E$7:$E$1006,History!G$6,Ledger!$B$7:$B$1006,"&lt;="&amp;$A130)</f>
        <v>600</v>
      </c>
      <c r="H130" s="8">
        <f>SUMIFS(Ledger!$K$7:$K$1006,Ledger!$C$7:$C$1006,Portfolio!$C$5,Ledger!$B$7:$B$1006,"&lt;="&amp;$A130)</f>
        <v>49454.401000000013</v>
      </c>
      <c r="I130" s="8">
        <f>IF(S130=6,SUMPRODUCT(B130:G130,History!B130:G130),NA())</f>
        <v>494183.30000000005</v>
      </c>
      <c r="J130" s="8">
        <f t="shared" si="6"/>
        <v>543637.70100000012</v>
      </c>
      <c r="K130" s="8">
        <f>SUMIFS(Ledger!$L$7:$L$1006,Ledger!$C$7:$C$1006,Portfolio!$C$5,Ledger!$B$7:$B$1006,$A130)</f>
        <v>0</v>
      </c>
      <c r="L130" s="10">
        <f>IF(A130&lt;Holdings!$G$24,"",IF(A130=Holdings!$G$24,IF(K130&gt;0,J130/K130-1,NA()),IF(J129&gt;0,(J130-K130)/J129-1,NA())))</f>
        <v>-3.1265950575996015E-3</v>
      </c>
      <c r="M130" s="11">
        <f>IF(A130&lt;Holdings!$G$24,"",IF(A130=Holdings!$G$24,100*(1+L130),M129*(1+L130)))</f>
        <v>101.40175684596032</v>
      </c>
      <c r="N130" s="11">
        <f>IF(A130&lt;Holdings!$G$24,"",IF(A130=Holdings!$G$24,MAX(100,M130),MAX(N129,M130)))</f>
        <v>102.94361845014572</v>
      </c>
      <c r="O130" s="10">
        <f>IF(A130&lt;Holdings!$G$24,"",M130/N130-1)</f>
        <v>-1.497772885195503E-2</v>
      </c>
      <c r="P130" s="11">
        <f>IF(A130&lt;Holdings!$G$24,"",IF(History!H130&gt;0,History!H130/INDEX(History!$H$7:$H$136,MATCH(Holdings!$G$24,History!$A$7:$A$136,0))*100,NA()))</f>
        <v>99.674560499999998</v>
      </c>
      <c r="Q130" s="10">
        <f>IF(A130&lt;=Holdings!$G$24,"",P130/P129-1)</f>
        <v>-1.5008477633275952E-3</v>
      </c>
      <c r="R130" s="8">
        <f>IF(A130&gt;Portfolio!$J$5,0,-K130+IF(A130=Portfolio!$J$5,J130,0))</f>
        <v>0</v>
      </c>
      <c r="S130" s="1">
        <f>COUNTIFS(History!B130:G130,"&gt;0")</f>
        <v>6</v>
      </c>
      <c r="T130" s="1" t="str">
        <f t="shared" si="7"/>
        <v>10-Sep</v>
      </c>
      <c r="U130" s="10">
        <f>IF(AND(A130&lt;=Portfolio!$J$5,A130&gt;=Holdings!$G$24),O130,0)</f>
        <v>-1.497772885195503E-2</v>
      </c>
      <c r="V130" s="12">
        <f>IF(AND(A130&gt;Holdings!$G$24,A130&lt;=Portfolio!$J$5),L130,"")</f>
        <v>-3.1265950575996015E-3</v>
      </c>
      <c r="W130" s="12">
        <f>IF(AND(A130&gt;Holdings!$G$24,A130&lt;=Portfolio!$J$5),Q130,"")</f>
        <v>-1.5008477633275952E-3</v>
      </c>
    </row>
    <row r="131" spans="1:23" ht="19.95" customHeight="1" x14ac:dyDescent="0.3">
      <c r="A131" s="7">
        <v>46276</v>
      </c>
      <c r="B131" s="1">
        <f>SUMIFS(Ledger!$J$7:$J$1006,Ledger!$C$7:$C$1006,Portfolio!$C$5,Ledger!$E$7:$E$1006,History!B$6,Ledger!$B$7:$B$1006,"&lt;="&amp;$A131)</f>
        <v>90</v>
      </c>
      <c r="C131" s="1">
        <f>SUMIFS(Ledger!$J$7:$J$1006,Ledger!$C$7:$C$1006,Portfolio!$C$5,Ledger!$E$7:$E$1006,History!C$6,Ledger!$B$7:$B$1006,"&lt;="&amp;$A131)</f>
        <v>220</v>
      </c>
      <c r="D131" s="1">
        <f>SUMIFS(Ledger!$J$7:$J$1006,Ledger!$C$7:$C$1006,Portfolio!$C$5,Ledger!$E$7:$E$1006,History!D$6,Ledger!$B$7:$B$1006,"&lt;="&amp;$A131)</f>
        <v>80</v>
      </c>
      <c r="E131" s="1">
        <f>SUMIFS(Ledger!$J$7:$J$1006,Ledger!$C$7:$C$1006,Portfolio!$C$5,Ledger!$E$7:$E$1006,History!E$6,Ledger!$B$7:$B$1006,"&lt;="&amp;$A131)</f>
        <v>130</v>
      </c>
      <c r="F131" s="1">
        <f>SUMIFS(Ledger!$J$7:$J$1006,Ledger!$C$7:$C$1006,Portfolio!$C$5,Ledger!$E$7:$E$1006,History!F$6,Ledger!$B$7:$B$1006,"&lt;="&amp;$A131)</f>
        <v>480</v>
      </c>
      <c r="G131" s="1">
        <f>SUMIFS(Ledger!$J$7:$J$1006,Ledger!$C$7:$C$1006,Portfolio!$C$5,Ledger!$E$7:$E$1006,History!G$6,Ledger!$B$7:$B$1006,"&lt;="&amp;$A131)</f>
        <v>600</v>
      </c>
      <c r="H131" s="8">
        <f>SUMIFS(Ledger!$K$7:$K$1006,Ledger!$C$7:$C$1006,Portfolio!$C$5,Ledger!$B$7:$B$1006,"&lt;="&amp;$A131)</f>
        <v>49454.401000000013</v>
      </c>
      <c r="I131" s="8">
        <f>IF(S131=6,SUMPRODUCT(B131:G131,History!B131:G131),NA())</f>
        <v>495834.05499999993</v>
      </c>
      <c r="J131" s="8">
        <f t="shared" si="6"/>
        <v>545288.45600000001</v>
      </c>
      <c r="K131" s="8">
        <f>SUMIFS(Ledger!$L$7:$L$1006,Ledger!$C$7:$C$1006,Portfolio!$C$5,Ledger!$B$7:$B$1006,$A131)</f>
        <v>0</v>
      </c>
      <c r="L131" s="10">
        <f>IF(A131&lt;Holdings!$G$24,"",IF(A131=Holdings!$G$24,IF(K131&gt;0,J131/K131-1,NA()),IF(J130&gt;0,(J131-K131)/J130-1,NA())))</f>
        <v>3.0364983829549441E-3</v>
      </c>
      <c r="M131" s="11">
        <f>IF(A131&lt;Holdings!$G$24,"",IF(A131=Holdings!$G$24,100*(1+L131),M130*(1+L131)))</f>
        <v>101.70966311665187</v>
      </c>
      <c r="N131" s="11">
        <f>IF(A131&lt;Holdings!$G$24,"",IF(A131=Holdings!$G$24,MAX(100,M131),MAX(N130,M131)))</f>
        <v>102.94361845014572</v>
      </c>
      <c r="O131" s="10">
        <f>IF(A131&lt;Holdings!$G$24,"",M131/N131-1)</f>
        <v>-1.1986710318439453E-2</v>
      </c>
      <c r="P131" s="11">
        <f>IF(A131&lt;Holdings!$G$24,"",IF(History!H131&gt;0,History!H131/INDEX(History!$H$7:$H$136,MATCH(Holdings!$G$24,History!$A$7:$A$136,0))*100,NA()))</f>
        <v>100.32490510000001</v>
      </c>
      <c r="Q131" s="10">
        <f>IF(A131&lt;=Holdings!$G$24,"",P131/P130-1)</f>
        <v>6.5246798855964627E-3</v>
      </c>
      <c r="R131" s="8">
        <f>IF(A131&gt;Portfolio!$J$5,0,-K131+IF(A131=Portfolio!$J$5,J131,0))</f>
        <v>0</v>
      </c>
      <c r="S131" s="1">
        <f>COUNTIFS(History!B131:G131,"&gt;0")</f>
        <v>6</v>
      </c>
      <c r="T131" s="1" t="str">
        <f t="shared" si="7"/>
        <v>11-Sep</v>
      </c>
      <c r="U131" s="10">
        <f>IF(AND(A131&lt;=Portfolio!$J$5,A131&gt;=Holdings!$G$24),O131,0)</f>
        <v>-1.1986710318439453E-2</v>
      </c>
      <c r="V131" s="12">
        <f>IF(AND(A131&gt;Holdings!$G$24,A131&lt;=Portfolio!$J$5),L131,"")</f>
        <v>3.0364983829549441E-3</v>
      </c>
      <c r="W131" s="12">
        <f>IF(AND(A131&gt;Holdings!$G$24,A131&lt;=Portfolio!$J$5),Q131,"")</f>
        <v>6.5246798855964627E-3</v>
      </c>
    </row>
    <row r="132" spans="1:23" ht="19.95" customHeight="1" x14ac:dyDescent="0.3">
      <c r="A132" s="7">
        <v>46279</v>
      </c>
      <c r="B132" s="1">
        <f>SUMIFS(Ledger!$J$7:$J$1006,Ledger!$C$7:$C$1006,Portfolio!$C$5,Ledger!$E$7:$E$1006,History!B$6,Ledger!$B$7:$B$1006,"&lt;="&amp;$A132)</f>
        <v>90</v>
      </c>
      <c r="C132" s="1">
        <f>SUMIFS(Ledger!$J$7:$J$1006,Ledger!$C$7:$C$1006,Portfolio!$C$5,Ledger!$E$7:$E$1006,History!C$6,Ledger!$B$7:$B$1006,"&lt;="&amp;$A132)</f>
        <v>220</v>
      </c>
      <c r="D132" s="1">
        <f>SUMIFS(Ledger!$J$7:$J$1006,Ledger!$C$7:$C$1006,Portfolio!$C$5,Ledger!$E$7:$E$1006,History!D$6,Ledger!$B$7:$B$1006,"&lt;="&amp;$A132)</f>
        <v>80</v>
      </c>
      <c r="E132" s="1">
        <f>SUMIFS(Ledger!$J$7:$J$1006,Ledger!$C$7:$C$1006,Portfolio!$C$5,Ledger!$E$7:$E$1006,History!E$6,Ledger!$B$7:$B$1006,"&lt;="&amp;$A132)</f>
        <v>130</v>
      </c>
      <c r="F132" s="1">
        <f>SUMIFS(Ledger!$J$7:$J$1006,Ledger!$C$7:$C$1006,Portfolio!$C$5,Ledger!$E$7:$E$1006,History!F$6,Ledger!$B$7:$B$1006,"&lt;="&amp;$A132)</f>
        <v>480</v>
      </c>
      <c r="G132" s="1">
        <f>SUMIFS(Ledger!$J$7:$J$1006,Ledger!$C$7:$C$1006,Portfolio!$C$5,Ledger!$E$7:$E$1006,History!G$6,Ledger!$B$7:$B$1006,"&lt;="&amp;$A132)</f>
        <v>600</v>
      </c>
      <c r="H132" s="8">
        <f>SUMIFS(Ledger!$K$7:$K$1006,Ledger!$C$7:$C$1006,Portfolio!$C$5,Ledger!$B$7:$B$1006,"&lt;="&amp;$A132)</f>
        <v>49454.401000000013</v>
      </c>
      <c r="I132" s="8">
        <f>IF(S132=6,SUMPRODUCT(B132:G132,History!B132:G132),NA())</f>
        <v>488535.60300000006</v>
      </c>
      <c r="J132" s="8">
        <f t="shared" si="6"/>
        <v>537990.00400000007</v>
      </c>
      <c r="K132" s="8">
        <f>SUMIFS(Ledger!$L$7:$L$1006,Ledger!$C$7:$C$1006,Portfolio!$C$5,Ledger!$B$7:$B$1006,$A132)</f>
        <v>0</v>
      </c>
      <c r="L132" s="10">
        <f>IF(A132&lt;Holdings!$G$24,"",IF(A132=Holdings!$G$24,IF(K132&gt;0,J132/K132-1,NA()),IF(J131&gt;0,(J132-K132)/J131-1,NA())))</f>
        <v>-1.3384570899479864E-2</v>
      </c>
      <c r="M132" s="11">
        <f>IF(A132&lt;Holdings!$G$24,"",IF(A132=Holdings!$G$24,100*(1+L132),M131*(1+L132)))</f>
        <v>100.34832291950482</v>
      </c>
      <c r="N132" s="11">
        <f>IF(A132&lt;Holdings!$G$24,"",IF(A132=Holdings!$G$24,MAX(100,M132),MAX(N131,M132)))</f>
        <v>102.94361845014572</v>
      </c>
      <c r="O132" s="10">
        <f>IF(A132&lt;Holdings!$G$24,"",M132/N132-1)</f>
        <v>-2.5210844243810704E-2</v>
      </c>
      <c r="P132" s="11">
        <f>IF(A132&lt;Holdings!$G$24,"",IF(History!H132&gt;0,History!H132/INDEX(History!$H$7:$H$136,MATCH(Holdings!$G$24,History!$A$7:$A$136,0))*100,NA()))</f>
        <v>98.578039699999991</v>
      </c>
      <c r="Q132" s="10">
        <f>IF(A132&lt;=Holdings!$G$24,"",P132/P131-1)</f>
        <v>-1.7412081259970402E-2</v>
      </c>
      <c r="R132" s="8">
        <f>IF(A132&gt;Portfolio!$J$5,0,-K132+IF(A132=Portfolio!$J$5,J132,0))</f>
        <v>0</v>
      </c>
      <c r="S132" s="1">
        <f>COUNTIFS(History!B132:G132,"&gt;0")</f>
        <v>6</v>
      </c>
      <c r="T132" s="1" t="str">
        <f t="shared" si="7"/>
        <v>14-Sep</v>
      </c>
      <c r="U132" s="10">
        <f>IF(AND(A132&lt;=Portfolio!$J$5,A132&gt;=Holdings!$G$24),O132,0)</f>
        <v>-2.5210844243810704E-2</v>
      </c>
      <c r="V132" s="12">
        <f>IF(AND(A132&gt;Holdings!$G$24,A132&lt;=Portfolio!$J$5),L132,"")</f>
        <v>-1.3384570899479864E-2</v>
      </c>
      <c r="W132" s="12">
        <f>IF(AND(A132&gt;Holdings!$G$24,A132&lt;=Portfolio!$J$5),Q132,"")</f>
        <v>-1.7412081259970402E-2</v>
      </c>
    </row>
    <row r="133" spans="1:23" ht="19.95" customHeight="1" x14ac:dyDescent="0.3">
      <c r="A133" s="7">
        <v>46280</v>
      </c>
      <c r="B133" s="1">
        <f>SUMIFS(Ledger!$J$7:$J$1006,Ledger!$C$7:$C$1006,Portfolio!$C$5,Ledger!$E$7:$E$1006,History!B$6,Ledger!$B$7:$B$1006,"&lt;="&amp;$A133)</f>
        <v>90</v>
      </c>
      <c r="C133" s="1">
        <f>SUMIFS(Ledger!$J$7:$J$1006,Ledger!$C$7:$C$1006,Portfolio!$C$5,Ledger!$E$7:$E$1006,History!C$6,Ledger!$B$7:$B$1006,"&lt;="&amp;$A133)</f>
        <v>220</v>
      </c>
      <c r="D133" s="1">
        <f>SUMIFS(Ledger!$J$7:$J$1006,Ledger!$C$7:$C$1006,Portfolio!$C$5,Ledger!$E$7:$E$1006,History!D$6,Ledger!$B$7:$B$1006,"&lt;="&amp;$A133)</f>
        <v>80</v>
      </c>
      <c r="E133" s="1">
        <f>SUMIFS(Ledger!$J$7:$J$1006,Ledger!$C$7:$C$1006,Portfolio!$C$5,Ledger!$E$7:$E$1006,History!E$6,Ledger!$B$7:$B$1006,"&lt;="&amp;$A133)</f>
        <v>130</v>
      </c>
      <c r="F133" s="1">
        <f>SUMIFS(Ledger!$J$7:$J$1006,Ledger!$C$7:$C$1006,Portfolio!$C$5,Ledger!$E$7:$E$1006,History!F$6,Ledger!$B$7:$B$1006,"&lt;="&amp;$A133)</f>
        <v>480</v>
      </c>
      <c r="G133" s="1">
        <f>SUMIFS(Ledger!$J$7:$J$1006,Ledger!$C$7:$C$1006,Portfolio!$C$5,Ledger!$E$7:$E$1006,History!G$6,Ledger!$B$7:$B$1006,"&lt;="&amp;$A133)</f>
        <v>600</v>
      </c>
      <c r="H133" s="8">
        <f>SUMIFS(Ledger!$K$7:$K$1006,Ledger!$C$7:$C$1006,Portfolio!$C$5,Ledger!$B$7:$B$1006,"&lt;="&amp;$A133)</f>
        <v>49454.401000000013</v>
      </c>
      <c r="I133" s="8">
        <f>IF(S133=6,SUMPRODUCT(B133:G133,History!B133:G133),NA())</f>
        <v>487002.82199999999</v>
      </c>
      <c r="J133" s="8">
        <f t="shared" si="6"/>
        <v>536457.223</v>
      </c>
      <c r="K133" s="8">
        <f>SUMIFS(Ledger!$L$7:$L$1006,Ledger!$C$7:$C$1006,Portfolio!$C$5,Ledger!$B$7:$B$1006,$A133)</f>
        <v>0</v>
      </c>
      <c r="L133" s="10">
        <f>IF(A133&lt;Holdings!$G$24,"",IF(A133=Holdings!$G$24,IF(K133&gt;0,J133/K133-1,NA()),IF(J132&gt;0,(J133-K133)/J132-1,NA())))</f>
        <v>-2.8490882518331651E-3</v>
      </c>
      <c r="M133" s="11">
        <f>IF(A133&lt;Holdings!$G$24,"",IF(A133=Holdings!$G$24,100*(1+L133),M132*(1+L133)))</f>
        <v>100.06242169158371</v>
      </c>
      <c r="N133" s="11">
        <f>IF(A133&lt;Holdings!$G$24,"",IF(A133=Holdings!$G$24,MAX(100,M133),MAX(N132,M133)))</f>
        <v>102.94361845014572</v>
      </c>
      <c r="O133" s="10">
        <f>IF(A133&lt;Holdings!$G$24,"",M133/N133-1)</f>
        <v>-2.7988104575489947E-2</v>
      </c>
      <c r="P133" s="11">
        <f>IF(A133&lt;Holdings!$G$24,"",IF(History!H133&gt;0,History!H133/INDEX(History!$H$7:$H$136,MATCH(Holdings!$G$24,History!$A$7:$A$136,0))*100,NA()))</f>
        <v>97.981470200000004</v>
      </c>
      <c r="Q133" s="10">
        <f>IF(A133&lt;=Holdings!$G$24,"",P133/P132-1)</f>
        <v>-6.0517484605649985E-3</v>
      </c>
      <c r="R133" s="8">
        <f>IF(A133&gt;Portfolio!$J$5,0,-K133+IF(A133=Portfolio!$J$5,J133,0))</f>
        <v>0</v>
      </c>
      <c r="S133" s="1">
        <f>COUNTIFS(History!B133:G133,"&gt;0")</f>
        <v>6</v>
      </c>
      <c r="T133" s="1" t="str">
        <f t="shared" si="7"/>
        <v>15-Sep</v>
      </c>
      <c r="U133" s="10">
        <f>IF(AND(A133&lt;=Portfolio!$J$5,A133&gt;=Holdings!$G$24),O133,0)</f>
        <v>-2.7988104575489947E-2</v>
      </c>
      <c r="V133" s="12">
        <f>IF(AND(A133&gt;Holdings!$G$24,A133&lt;=Portfolio!$J$5),L133,"")</f>
        <v>-2.8490882518331651E-3</v>
      </c>
      <c r="W133" s="12">
        <f>IF(AND(A133&gt;Holdings!$G$24,A133&lt;=Portfolio!$J$5),Q133,"")</f>
        <v>-6.0517484605649985E-3</v>
      </c>
    </row>
    <row r="134" spans="1:23" ht="19.95" customHeight="1" x14ac:dyDescent="0.3">
      <c r="A134" s="7">
        <v>46281</v>
      </c>
      <c r="B134" s="1">
        <f>SUMIFS(Ledger!$J$7:$J$1006,Ledger!$C$7:$C$1006,Portfolio!$C$5,Ledger!$E$7:$E$1006,History!B$6,Ledger!$B$7:$B$1006,"&lt;="&amp;$A134)</f>
        <v>90</v>
      </c>
      <c r="C134" s="1">
        <f>SUMIFS(Ledger!$J$7:$J$1006,Ledger!$C$7:$C$1006,Portfolio!$C$5,Ledger!$E$7:$E$1006,History!C$6,Ledger!$B$7:$B$1006,"&lt;="&amp;$A134)</f>
        <v>220</v>
      </c>
      <c r="D134" s="1">
        <f>SUMIFS(Ledger!$J$7:$J$1006,Ledger!$C$7:$C$1006,Portfolio!$C$5,Ledger!$E$7:$E$1006,History!D$6,Ledger!$B$7:$B$1006,"&lt;="&amp;$A134)</f>
        <v>80</v>
      </c>
      <c r="E134" s="1">
        <f>SUMIFS(Ledger!$J$7:$J$1006,Ledger!$C$7:$C$1006,Portfolio!$C$5,Ledger!$E$7:$E$1006,History!E$6,Ledger!$B$7:$B$1006,"&lt;="&amp;$A134)</f>
        <v>130</v>
      </c>
      <c r="F134" s="1">
        <f>SUMIFS(Ledger!$J$7:$J$1006,Ledger!$C$7:$C$1006,Portfolio!$C$5,Ledger!$E$7:$E$1006,History!F$6,Ledger!$B$7:$B$1006,"&lt;="&amp;$A134)</f>
        <v>480</v>
      </c>
      <c r="G134" s="1">
        <f>SUMIFS(Ledger!$J$7:$J$1006,Ledger!$C$7:$C$1006,Portfolio!$C$5,Ledger!$E$7:$E$1006,History!G$6,Ledger!$B$7:$B$1006,"&lt;="&amp;$A134)</f>
        <v>600</v>
      </c>
      <c r="H134" s="8">
        <f>SUMIFS(Ledger!$K$7:$K$1006,Ledger!$C$7:$C$1006,Portfolio!$C$5,Ledger!$B$7:$B$1006,"&lt;="&amp;$A134)</f>
        <v>49454.401000000013</v>
      </c>
      <c r="I134" s="8">
        <f>IF(S134=6,SUMPRODUCT(B134:G134,History!B134:G134),NA())</f>
        <v>486942.49099999998</v>
      </c>
      <c r="J134" s="8">
        <f t="shared" si="6"/>
        <v>536396.89199999999</v>
      </c>
      <c r="K134" s="8">
        <f>SUMIFS(Ledger!$L$7:$L$1006,Ledger!$C$7:$C$1006,Portfolio!$C$5,Ledger!$B$7:$B$1006,$A134)</f>
        <v>0</v>
      </c>
      <c r="L134" s="10">
        <f>IF(A134&lt;Holdings!$G$24,"",IF(A134=Holdings!$G$24,IF(K134&gt;0,J134/K134-1,NA()),IF(J133&gt;0,(J134-K134)/J133-1,NA())))</f>
        <v>-1.1246190267066858E-4</v>
      </c>
      <c r="M134" s="11">
        <f>IF(A134&lt;Holdings!$G$24,"",IF(A134=Holdings!$G$24,100*(1+L134),M133*(1+L134)))</f>
        <v>100.05116848125444</v>
      </c>
      <c r="N134" s="11">
        <f>IF(A134&lt;Holdings!$G$24,"",IF(A134=Holdings!$G$24,MAX(100,M134),MAX(N133,M134)))</f>
        <v>102.94361845014572</v>
      </c>
      <c r="O134" s="10">
        <f>IF(A134&lt;Holdings!$G$24,"",M134/N134-1)</f>
        <v>-2.8097418882667924E-2</v>
      </c>
      <c r="P134" s="11">
        <f>IF(A134&lt;Holdings!$G$24,"",IF(History!H134&gt;0,History!H134/INDEX(History!$H$7:$H$136,MATCH(Holdings!$G$24,History!$A$7:$A$136,0))*100,NA()))</f>
        <v>97.81150079999999</v>
      </c>
      <c r="Q134" s="10">
        <f>IF(A134&lt;=Holdings!$G$24,"",P134/P133-1)</f>
        <v>-1.7347096308421017E-3</v>
      </c>
      <c r="R134" s="8">
        <f>IF(A134&gt;Portfolio!$J$5,0,-K134+IF(A134=Portfolio!$J$5,J134,0))</f>
        <v>0</v>
      </c>
      <c r="S134" s="1">
        <f>COUNTIFS(History!B134:G134,"&gt;0")</f>
        <v>6</v>
      </c>
      <c r="T134" s="1" t="str">
        <f t="shared" si="7"/>
        <v>16-Sep</v>
      </c>
      <c r="U134" s="10">
        <f>IF(AND(A134&lt;=Portfolio!$J$5,A134&gt;=Holdings!$G$24),O134,0)</f>
        <v>-2.8097418882667924E-2</v>
      </c>
      <c r="V134" s="12">
        <f>IF(AND(A134&gt;Holdings!$G$24,A134&lt;=Portfolio!$J$5),L134,"")</f>
        <v>-1.1246190267066858E-4</v>
      </c>
      <c r="W134" s="12">
        <f>IF(AND(A134&gt;Holdings!$G$24,A134&lt;=Portfolio!$J$5),Q134,"")</f>
        <v>-1.7347096308421017E-3</v>
      </c>
    </row>
    <row r="135" spans="1:23" ht="19.95" customHeight="1" x14ac:dyDescent="0.3">
      <c r="A135" s="7">
        <v>46282</v>
      </c>
      <c r="B135" s="1">
        <f>SUMIFS(Ledger!$J$7:$J$1006,Ledger!$C$7:$C$1006,Portfolio!$C$5,Ledger!$E$7:$E$1006,History!B$6,Ledger!$B$7:$B$1006,"&lt;="&amp;$A135)</f>
        <v>90</v>
      </c>
      <c r="C135" s="1">
        <f>SUMIFS(Ledger!$J$7:$J$1006,Ledger!$C$7:$C$1006,Portfolio!$C$5,Ledger!$E$7:$E$1006,History!C$6,Ledger!$B$7:$B$1006,"&lt;="&amp;$A135)</f>
        <v>220</v>
      </c>
      <c r="D135" s="1">
        <f>SUMIFS(Ledger!$J$7:$J$1006,Ledger!$C$7:$C$1006,Portfolio!$C$5,Ledger!$E$7:$E$1006,History!D$6,Ledger!$B$7:$B$1006,"&lt;="&amp;$A135)</f>
        <v>80</v>
      </c>
      <c r="E135" s="1">
        <f>SUMIFS(Ledger!$J$7:$J$1006,Ledger!$C$7:$C$1006,Portfolio!$C$5,Ledger!$E$7:$E$1006,History!E$6,Ledger!$B$7:$B$1006,"&lt;="&amp;$A135)</f>
        <v>130</v>
      </c>
      <c r="F135" s="1">
        <f>SUMIFS(Ledger!$J$7:$J$1006,Ledger!$C$7:$C$1006,Portfolio!$C$5,Ledger!$E$7:$E$1006,History!F$6,Ledger!$B$7:$B$1006,"&lt;="&amp;$A135)</f>
        <v>480</v>
      </c>
      <c r="G135" s="1">
        <f>SUMIFS(Ledger!$J$7:$J$1006,Ledger!$C$7:$C$1006,Portfolio!$C$5,Ledger!$E$7:$E$1006,History!G$6,Ledger!$B$7:$B$1006,"&lt;="&amp;$A135)</f>
        <v>600</v>
      </c>
      <c r="H135" s="8">
        <f>SUMIFS(Ledger!$K$7:$K$1006,Ledger!$C$7:$C$1006,Portfolio!$C$5,Ledger!$B$7:$B$1006,"&lt;="&amp;$A135)</f>
        <v>49454.401000000013</v>
      </c>
      <c r="I135" s="8">
        <f>IF(S135=6,SUMPRODUCT(B135:G135,History!B135:G135),NA())</f>
        <v>481538.34899999993</v>
      </c>
      <c r="J135" s="8">
        <f t="shared" ref="J135:J136" si="8">SUM(H135:I135)</f>
        <v>530992.75</v>
      </c>
      <c r="K135" s="8">
        <f>SUMIFS(Ledger!$L$7:$L$1006,Ledger!$C$7:$C$1006,Portfolio!$C$5,Ledger!$B$7:$B$1006,$A135)</f>
        <v>0</v>
      </c>
      <c r="L135" s="10">
        <f>IF(A135&lt;Holdings!$G$24,"",IF(A135=Holdings!$G$24,IF(K135&gt;0,J135/K135-1,NA()),IF(J134&gt;0,(J135-K135)/J134-1,NA())))</f>
        <v>-1.0074894319111793E-2</v>
      </c>
      <c r="M135" s="11">
        <f>IF(A135&lt;Holdings!$G$24,"",IF(A135=Holdings!$G$24,100*(1+L135),M134*(1+L135)))</f>
        <v>99.043163532302145</v>
      </c>
      <c r="N135" s="11">
        <f>IF(A135&lt;Holdings!$G$24,"",IF(A135=Holdings!$G$24,MAX(100,M135),MAX(N134,M135)))</f>
        <v>102.94361845014572</v>
      </c>
      <c r="O135" s="10">
        <f>IF(A135&lt;Holdings!$G$24,"",M135/N135-1)</f>
        <v>-3.7889234675896999E-2</v>
      </c>
      <c r="P135" s="11">
        <f>IF(A135&lt;Holdings!$G$24,"",IF(History!H135&gt;0,History!H135/INDEX(History!$H$7:$H$136,MATCH(Holdings!$G$24,History!$A$7:$A$136,0))*100,NA()))</f>
        <v>97.158046600000006</v>
      </c>
      <c r="Q135" s="10">
        <f>IF(A135&lt;=Holdings!$G$24,"",P135/P134-1)</f>
        <v>-6.6807501638905809E-3</v>
      </c>
      <c r="R135" s="8">
        <f>IF(A135&gt;Portfolio!$J$5,0,-K135+IF(A135=Portfolio!$J$5,J135,0))</f>
        <v>0</v>
      </c>
      <c r="S135" s="1">
        <f>COUNTIFS(History!B135:G135,"&gt;0")</f>
        <v>6</v>
      </c>
      <c r="T135" s="1" t="str">
        <f t="shared" si="7"/>
        <v>17-Sep</v>
      </c>
      <c r="U135" s="10">
        <f>IF(AND(A135&lt;=Portfolio!$J$5,A135&gt;=Holdings!$G$24),O135,0)</f>
        <v>-3.7889234675896999E-2</v>
      </c>
      <c r="V135" s="12">
        <f>IF(AND(A135&gt;Holdings!$G$24,A135&lt;=Portfolio!$J$5),L135,"")</f>
        <v>-1.0074894319111793E-2</v>
      </c>
      <c r="W135" s="12">
        <f>IF(AND(A135&gt;Holdings!$G$24,A135&lt;=Portfolio!$J$5),Q135,"")</f>
        <v>-6.6807501638905809E-3</v>
      </c>
    </row>
    <row r="136" spans="1:23" ht="19.95" customHeight="1" x14ac:dyDescent="0.3">
      <c r="A136" s="7">
        <v>46283</v>
      </c>
      <c r="B136" s="1">
        <f>SUMIFS(Ledger!$J$7:$J$1006,Ledger!$C$7:$C$1006,Portfolio!$C$5,Ledger!$E$7:$E$1006,History!B$6,Ledger!$B$7:$B$1006,"&lt;="&amp;$A136)</f>
        <v>90</v>
      </c>
      <c r="C136" s="1">
        <f>SUMIFS(Ledger!$J$7:$J$1006,Ledger!$C$7:$C$1006,Portfolio!$C$5,Ledger!$E$7:$E$1006,History!C$6,Ledger!$B$7:$B$1006,"&lt;="&amp;$A136)</f>
        <v>220</v>
      </c>
      <c r="D136" s="1">
        <f>SUMIFS(Ledger!$J$7:$J$1006,Ledger!$C$7:$C$1006,Portfolio!$C$5,Ledger!$E$7:$E$1006,History!D$6,Ledger!$B$7:$B$1006,"&lt;="&amp;$A136)</f>
        <v>80</v>
      </c>
      <c r="E136" s="1">
        <f>SUMIFS(Ledger!$J$7:$J$1006,Ledger!$C$7:$C$1006,Portfolio!$C$5,Ledger!$E$7:$E$1006,History!E$6,Ledger!$B$7:$B$1006,"&lt;="&amp;$A136)</f>
        <v>130</v>
      </c>
      <c r="F136" s="1">
        <f>SUMIFS(Ledger!$J$7:$J$1006,Ledger!$C$7:$C$1006,Portfolio!$C$5,Ledger!$E$7:$E$1006,History!F$6,Ledger!$B$7:$B$1006,"&lt;="&amp;$A136)</f>
        <v>480</v>
      </c>
      <c r="G136" s="1">
        <f>SUMIFS(Ledger!$J$7:$J$1006,Ledger!$C$7:$C$1006,Portfolio!$C$5,Ledger!$E$7:$E$1006,History!G$6,Ledger!$B$7:$B$1006,"&lt;="&amp;$A136)</f>
        <v>600</v>
      </c>
      <c r="H136" s="8">
        <f>SUMIFS(Ledger!$K$7:$K$1006,Ledger!$C$7:$C$1006,Portfolio!$C$5,Ledger!$B$7:$B$1006,"&lt;="&amp;$A136)</f>
        <v>49454.401000000013</v>
      </c>
      <c r="I136" s="8">
        <f>IF(S136=6,SUMPRODUCT(B136:G136,History!B136:G136),NA())</f>
        <v>477459.59400000004</v>
      </c>
      <c r="J136" s="8">
        <f t="shared" si="8"/>
        <v>526913.99500000011</v>
      </c>
      <c r="K136" s="8">
        <f>SUMIFS(Ledger!$L$7:$L$1006,Ledger!$C$7:$C$1006,Portfolio!$C$5,Ledger!$B$7:$B$1006,$A136)</f>
        <v>0</v>
      </c>
      <c r="L136" s="10">
        <f>IF(A136&lt;Holdings!$G$24,"",IF(A136=Holdings!$G$24,IF(K136&gt;0,J136/K136-1,NA()),IF(J135&gt;0,(J136-K136)/J135-1,NA())))</f>
        <v>-7.6813760639855566E-3</v>
      </c>
      <c r="M136" s="11">
        <f>IF(A136&lt;Holdings!$G$24,"",IF(A136=Holdings!$G$24,100*(1+L136),M135*(1+L136)))</f>
        <v>98.282375746643709</v>
      </c>
      <c r="N136" s="11">
        <f>IF(A136&lt;Holdings!$G$24,"",IF(A136=Holdings!$G$24,MAX(100,M136),MAX(N135,M136)))</f>
        <v>102.94361845014572</v>
      </c>
      <c r="O136" s="10">
        <f>IF(A136&lt;Holdings!$G$24,"",M136/N136-1)</f>
        <v>-4.527956927956045E-2</v>
      </c>
      <c r="P136" s="11">
        <f>IF(A136&lt;Holdings!$G$24,"",IF(History!H136&gt;0,History!H136/INDEX(History!$H$7:$H$136,MATCH(Holdings!$G$24,History!$A$7:$A$136,0))*100,NA()))</f>
        <v>96.624133900000004</v>
      </c>
      <c r="Q136" s="10">
        <f>IF(A136&lt;=Holdings!$G$24,"",P136/P135-1)</f>
        <v>-5.4953008904977674E-3</v>
      </c>
      <c r="R136" s="8">
        <f>IF(A136&gt;Portfolio!$J$5,0,-K136+IF(A136=Portfolio!$J$5,J136,0))</f>
        <v>526913.99500000011</v>
      </c>
      <c r="S136" s="1">
        <f>COUNTIFS(History!B136:G136,"&gt;0")</f>
        <v>6</v>
      </c>
      <c r="T136" s="1" t="str">
        <f t="shared" si="7"/>
        <v>18-Sep</v>
      </c>
      <c r="U136" s="10">
        <f>IF(AND(A136&lt;=Portfolio!$J$5,A136&gt;=Holdings!$G$24),O136,0)</f>
        <v>-4.527956927956045E-2</v>
      </c>
      <c r="V136" s="12">
        <f>IF(AND(A136&gt;Holdings!$G$24,A136&lt;=Portfolio!$J$5),L136,"")</f>
        <v>-7.6813760639855566E-3</v>
      </c>
      <c r="W136" s="12">
        <f>IF(AND(A136&gt;Holdings!$G$24,A136&lt;=Portfolio!$J$5),Q136,"")</f>
        <v>-5.4953008904977674E-3</v>
      </c>
    </row>
    <row r="137" spans="1:23" ht="19.9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3" ht="19.9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</sheetData>
  <pageMargins left="0.25" right="0.25" top="0.25" bottom="0.25" header="0.3" footer="0.3"/>
  <pageSetup paperSize="8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38"/>
  <sheetViews>
    <sheetView showGridLines="0" zoomScale="90" zoomScaleNormal="90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3" customWidth="1"/>
    <col min="2" max="7" width="20" customWidth="1"/>
    <col min="8" max="10" width="13" customWidth="1"/>
    <col min="11" max="14" width="22" customWidth="1"/>
    <col min="15" max="15" width="13" customWidth="1"/>
  </cols>
  <sheetData>
    <row r="1" spans="1:2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ht="19.95" customHeight="1" x14ac:dyDescent="0.3">
      <c r="A2" s="2" t="s">
        <v>155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" ht="19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  <c r="T3" s="4"/>
    </row>
    <row r="4" spans="1:20" ht="19.95" customHeight="1" x14ac:dyDescent="0.3">
      <c r="A4" s="5" t="s">
        <v>156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0" ht="19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8.95" customHeight="1" x14ac:dyDescent="0.3">
      <c r="A6" s="6" t="s">
        <v>72</v>
      </c>
      <c r="B6" s="6" t="s">
        <v>46</v>
      </c>
      <c r="C6" s="6" t="s">
        <v>49</v>
      </c>
      <c r="D6" s="6" t="s">
        <v>52</v>
      </c>
      <c r="E6" s="6" t="s">
        <v>55</v>
      </c>
      <c r="F6" s="6" t="s">
        <v>58</v>
      </c>
      <c r="G6" s="6" t="s">
        <v>61</v>
      </c>
      <c r="H6" s="6" t="s">
        <v>157</v>
      </c>
      <c r="I6" s="1"/>
      <c r="J6" s="1"/>
      <c r="K6" s="6" t="s">
        <v>11</v>
      </c>
      <c r="L6" s="6" t="s">
        <v>42</v>
      </c>
      <c r="M6" s="6" t="s">
        <v>73</v>
      </c>
      <c r="N6" s="6" t="s">
        <v>12</v>
      </c>
      <c r="O6" s="1"/>
    </row>
    <row r="7" spans="1:20" ht="19.95" customHeight="1" x14ac:dyDescent="0.3">
      <c r="A7" s="7">
        <v>46104</v>
      </c>
      <c r="B7" s="8">
        <v>550</v>
      </c>
      <c r="C7" s="8">
        <v>1200</v>
      </c>
      <c r="D7" s="8">
        <v>850</v>
      </c>
      <c r="E7" s="8">
        <v>430</v>
      </c>
      <c r="F7" s="8">
        <v>250</v>
      </c>
      <c r="G7" s="8">
        <v>100</v>
      </c>
      <c r="H7" s="8">
        <v>1000</v>
      </c>
      <c r="I7" s="1"/>
      <c r="J7" s="1"/>
      <c r="K7" s="1" t="s">
        <v>46</v>
      </c>
      <c r="L7" s="1" t="s">
        <v>47</v>
      </c>
      <c r="M7" s="1" t="s">
        <v>158</v>
      </c>
      <c r="N7" s="1" t="s">
        <v>48</v>
      </c>
      <c r="O7" s="1"/>
    </row>
    <row r="8" spans="1:20" ht="19.95" customHeight="1" x14ac:dyDescent="0.3">
      <c r="A8" s="7">
        <v>46105</v>
      </c>
      <c r="B8" s="8">
        <v>553.26610000000005</v>
      </c>
      <c r="C8" s="8">
        <v>1220.826</v>
      </c>
      <c r="D8" s="8">
        <v>859.24019999999996</v>
      </c>
      <c r="E8" s="8">
        <v>431.4914</v>
      </c>
      <c r="F8" s="8">
        <v>251.8348</v>
      </c>
      <c r="G8" s="8">
        <v>100.08580000000001</v>
      </c>
      <c r="H8" s="8">
        <v>1007.208993</v>
      </c>
      <c r="I8" s="1"/>
      <c r="J8" s="1"/>
      <c r="K8" s="1" t="s">
        <v>49</v>
      </c>
      <c r="L8" s="1" t="s">
        <v>50</v>
      </c>
      <c r="M8" s="1" t="s">
        <v>158</v>
      </c>
      <c r="N8" s="1" t="s">
        <v>51</v>
      </c>
      <c r="O8" s="1"/>
    </row>
    <row r="9" spans="1:20" ht="19.95" customHeight="1" x14ac:dyDescent="0.3">
      <c r="A9" s="7">
        <v>46106</v>
      </c>
      <c r="B9" s="8">
        <v>550.68269999999995</v>
      </c>
      <c r="C9" s="8">
        <v>1212.2826</v>
      </c>
      <c r="D9" s="8">
        <v>852.01289999999995</v>
      </c>
      <c r="E9" s="8">
        <v>430.74869999999999</v>
      </c>
      <c r="F9" s="8">
        <v>251.62860000000001</v>
      </c>
      <c r="G9" s="8">
        <v>100.2046</v>
      </c>
      <c r="H9" s="8">
        <v>1008.580923</v>
      </c>
      <c r="I9" s="1"/>
      <c r="J9" s="1"/>
      <c r="K9" s="1" t="s">
        <v>52</v>
      </c>
      <c r="L9" s="1" t="s">
        <v>53</v>
      </c>
      <c r="M9" s="1" t="s">
        <v>158</v>
      </c>
      <c r="N9" s="1" t="s">
        <v>54</v>
      </c>
      <c r="O9" s="1"/>
    </row>
    <row r="10" spans="1:20" ht="19.95" customHeight="1" x14ac:dyDescent="0.3">
      <c r="A10" s="7">
        <v>46107</v>
      </c>
      <c r="B10" s="8">
        <v>554.25819999999999</v>
      </c>
      <c r="C10" s="8">
        <v>1223.3541</v>
      </c>
      <c r="D10" s="8">
        <v>862.69709999999998</v>
      </c>
      <c r="E10" s="8">
        <v>434.37830000000002</v>
      </c>
      <c r="F10" s="8">
        <v>253.8152</v>
      </c>
      <c r="G10" s="8">
        <v>100.2137</v>
      </c>
      <c r="H10" s="8">
        <v>1016.311462</v>
      </c>
      <c r="I10" s="1"/>
      <c r="J10" s="1"/>
      <c r="K10" s="1" t="s">
        <v>55</v>
      </c>
      <c r="L10" s="1" t="s">
        <v>56</v>
      </c>
      <c r="M10" s="1" t="s">
        <v>158</v>
      </c>
      <c r="N10" s="1" t="s">
        <v>57</v>
      </c>
      <c r="O10" s="1"/>
    </row>
    <row r="11" spans="1:20" ht="19.95" customHeight="1" x14ac:dyDescent="0.3">
      <c r="A11" s="7">
        <v>46108</v>
      </c>
      <c r="B11" s="8">
        <v>550.76199999999994</v>
      </c>
      <c r="C11" s="8">
        <v>1236.7342000000001</v>
      </c>
      <c r="D11" s="8">
        <v>858.4144</v>
      </c>
      <c r="E11" s="8">
        <v>433.94880000000001</v>
      </c>
      <c r="F11" s="8">
        <v>253.0659</v>
      </c>
      <c r="G11" s="8">
        <v>100.22369999999999</v>
      </c>
      <c r="H11" s="8">
        <v>1013.954757</v>
      </c>
      <c r="I11" s="1"/>
      <c r="J11" s="1"/>
      <c r="K11" s="1" t="s">
        <v>58</v>
      </c>
      <c r="L11" s="1" t="s">
        <v>59</v>
      </c>
      <c r="M11" s="1" t="s">
        <v>159</v>
      </c>
      <c r="N11" s="1" t="s">
        <v>60</v>
      </c>
      <c r="O11" s="1"/>
    </row>
    <row r="12" spans="1:20" ht="19.95" customHeight="1" x14ac:dyDescent="0.3">
      <c r="A12" s="7">
        <v>46111</v>
      </c>
      <c r="B12" s="8">
        <v>549.21100000000001</v>
      </c>
      <c r="C12" s="8">
        <v>1235.6043</v>
      </c>
      <c r="D12" s="8">
        <v>859.73410000000001</v>
      </c>
      <c r="E12" s="8">
        <v>434.05160000000001</v>
      </c>
      <c r="F12" s="8">
        <v>253.0264</v>
      </c>
      <c r="G12" s="8">
        <v>100.26519999999999</v>
      </c>
      <c r="H12" s="8">
        <v>1012.589336</v>
      </c>
      <c r="I12" s="1"/>
      <c r="J12" s="1"/>
      <c r="K12" s="1" t="s">
        <v>61</v>
      </c>
      <c r="L12" s="1" t="s">
        <v>62</v>
      </c>
      <c r="M12" s="1" t="s">
        <v>159</v>
      </c>
      <c r="N12" s="1" t="s">
        <v>63</v>
      </c>
      <c r="O12" s="1"/>
    </row>
    <row r="13" spans="1:20" ht="19.95" customHeight="1" x14ac:dyDescent="0.3">
      <c r="A13" s="7">
        <v>46112</v>
      </c>
      <c r="B13" s="8">
        <v>554.87429999999995</v>
      </c>
      <c r="C13" s="8">
        <v>1251.5308</v>
      </c>
      <c r="D13" s="8">
        <v>852.31299999999999</v>
      </c>
      <c r="E13" s="8">
        <v>436.95420000000001</v>
      </c>
      <c r="F13" s="8">
        <v>252.3518</v>
      </c>
      <c r="G13" s="8">
        <v>100.3908</v>
      </c>
      <c r="H13" s="8">
        <v>1009.406176</v>
      </c>
      <c r="I13" s="1"/>
      <c r="J13" s="1"/>
      <c r="K13" s="1"/>
      <c r="L13" s="1"/>
      <c r="M13" s="1"/>
      <c r="N13" s="1"/>
      <c r="O13" s="1"/>
    </row>
    <row r="14" spans="1:20" ht="19.95" customHeight="1" x14ac:dyDescent="0.3">
      <c r="A14" s="7">
        <v>46113</v>
      </c>
      <c r="B14" s="8">
        <v>551.06700000000001</v>
      </c>
      <c r="C14" s="8">
        <v>1254.5780999999999</v>
      </c>
      <c r="D14" s="8">
        <v>855.06600000000003</v>
      </c>
      <c r="E14" s="8">
        <v>435.08769999999998</v>
      </c>
      <c r="F14" s="8">
        <v>251.4417</v>
      </c>
      <c r="G14" s="8">
        <v>100.4823</v>
      </c>
      <c r="H14" s="8">
        <v>1004.977756</v>
      </c>
      <c r="I14" s="1"/>
      <c r="J14" s="1"/>
      <c r="K14" s="1"/>
      <c r="L14" s="1"/>
      <c r="M14" s="1"/>
      <c r="N14" s="1"/>
      <c r="O14" s="1"/>
    </row>
    <row r="15" spans="1:20" ht="19.95" customHeight="1" x14ac:dyDescent="0.3">
      <c r="A15" s="7">
        <v>46114</v>
      </c>
      <c r="B15" s="8">
        <v>547.12490000000003</v>
      </c>
      <c r="C15" s="8">
        <v>1248.6719000000001</v>
      </c>
      <c r="D15" s="8">
        <v>853.22410000000002</v>
      </c>
      <c r="E15" s="8">
        <v>428.47809999999998</v>
      </c>
      <c r="F15" s="8">
        <v>251.1859</v>
      </c>
      <c r="G15" s="8">
        <v>100.3655</v>
      </c>
      <c r="H15" s="8">
        <v>1002.368907</v>
      </c>
      <c r="I15" s="1"/>
      <c r="J15" s="1"/>
      <c r="K15" s="1" t="s">
        <v>160</v>
      </c>
      <c r="L15" s="1"/>
      <c r="M15" s="1"/>
      <c r="N15" s="1"/>
      <c r="O15" s="1"/>
    </row>
    <row r="16" spans="1:20" ht="19.95" customHeight="1" x14ac:dyDescent="0.3">
      <c r="A16" s="7">
        <v>46115</v>
      </c>
      <c r="B16" s="8">
        <v>550.71010000000001</v>
      </c>
      <c r="C16" s="8">
        <v>1225.3833</v>
      </c>
      <c r="D16" s="8">
        <v>846.36159999999995</v>
      </c>
      <c r="E16" s="8">
        <v>418.5711</v>
      </c>
      <c r="F16" s="8">
        <v>249.905</v>
      </c>
      <c r="G16" s="8">
        <v>100.1973</v>
      </c>
      <c r="H16" s="8">
        <v>995.82566399999996</v>
      </c>
      <c r="I16" s="1"/>
      <c r="J16" s="1"/>
      <c r="K16" s="1"/>
      <c r="L16" s="1"/>
      <c r="M16" s="1"/>
      <c r="N16" s="1"/>
      <c r="O16" s="1"/>
    </row>
    <row r="17" spans="1:15" ht="19.95" customHeight="1" x14ac:dyDescent="0.3">
      <c r="A17" s="7">
        <v>46118</v>
      </c>
      <c r="B17" s="8">
        <v>547.25160000000005</v>
      </c>
      <c r="C17" s="8">
        <v>1221.0833</v>
      </c>
      <c r="D17" s="8">
        <v>843.40449999999998</v>
      </c>
      <c r="E17" s="8">
        <v>416.4298</v>
      </c>
      <c r="F17" s="8">
        <v>249.58779999999999</v>
      </c>
      <c r="G17" s="8">
        <v>100.1797</v>
      </c>
      <c r="H17" s="8">
        <v>994.570967</v>
      </c>
      <c r="I17" s="1"/>
      <c r="J17" s="1"/>
      <c r="K17" s="1" t="s">
        <v>161</v>
      </c>
      <c r="L17" s="1"/>
      <c r="M17" s="1"/>
      <c r="N17" s="1"/>
      <c r="O17" s="1"/>
    </row>
    <row r="18" spans="1:15" ht="19.95" customHeight="1" x14ac:dyDescent="0.3">
      <c r="A18" s="7">
        <v>46119</v>
      </c>
      <c r="B18" s="8">
        <v>549.08460000000002</v>
      </c>
      <c r="C18" s="8">
        <v>1225.4286</v>
      </c>
      <c r="D18" s="8">
        <v>850.10299999999995</v>
      </c>
      <c r="E18" s="8">
        <v>423.3374</v>
      </c>
      <c r="F18" s="8">
        <v>250.57040000000001</v>
      </c>
      <c r="G18" s="8">
        <v>100.2739</v>
      </c>
      <c r="H18" s="8">
        <v>996.58941900000002</v>
      </c>
      <c r="I18" s="1"/>
      <c r="J18" s="1"/>
      <c r="K18" s="1"/>
      <c r="L18" s="1"/>
      <c r="M18" s="1"/>
      <c r="N18" s="1"/>
      <c r="O18" s="1"/>
    </row>
    <row r="19" spans="1:15" ht="19.95" customHeight="1" x14ac:dyDescent="0.3">
      <c r="A19" s="7">
        <v>46120</v>
      </c>
      <c r="B19" s="8">
        <v>544.03899999999999</v>
      </c>
      <c r="C19" s="8">
        <v>1209.5273999999999</v>
      </c>
      <c r="D19" s="8">
        <v>837.29970000000003</v>
      </c>
      <c r="E19" s="8">
        <v>424.74130000000002</v>
      </c>
      <c r="F19" s="8">
        <v>250.0711</v>
      </c>
      <c r="G19" s="8">
        <v>100.34399999999999</v>
      </c>
      <c r="H19" s="8">
        <v>992.16424700000005</v>
      </c>
      <c r="I19" s="1"/>
      <c r="J19" s="1"/>
      <c r="K19" s="1" t="s">
        <v>162</v>
      </c>
      <c r="L19" s="1"/>
      <c r="M19" s="1"/>
      <c r="N19" s="1"/>
      <c r="O19" s="1"/>
    </row>
    <row r="20" spans="1:15" ht="19.95" customHeight="1" x14ac:dyDescent="0.3">
      <c r="A20" s="7">
        <v>46121</v>
      </c>
      <c r="B20" s="8">
        <v>545.40620000000001</v>
      </c>
      <c r="C20" s="8">
        <v>1215.9159</v>
      </c>
      <c r="D20" s="8">
        <v>839.12699999999995</v>
      </c>
      <c r="E20" s="8">
        <v>428.92090000000002</v>
      </c>
      <c r="F20" s="8">
        <v>250.24019999999999</v>
      </c>
      <c r="G20" s="8">
        <v>100.5633</v>
      </c>
      <c r="H20" s="8">
        <v>990.94465700000001</v>
      </c>
      <c r="I20" s="1"/>
      <c r="J20" s="1"/>
      <c r="K20" s="1"/>
      <c r="L20" s="1"/>
      <c r="M20" s="1"/>
      <c r="N20" s="1"/>
      <c r="O20" s="1"/>
    </row>
    <row r="21" spans="1:15" ht="19.95" customHeight="1" x14ac:dyDescent="0.3">
      <c r="A21" s="7">
        <v>46122</v>
      </c>
      <c r="B21" s="8">
        <v>538.53480000000002</v>
      </c>
      <c r="C21" s="8">
        <v>1201.9039</v>
      </c>
      <c r="D21" s="8">
        <v>833.14580000000001</v>
      </c>
      <c r="E21" s="8">
        <v>427.7294</v>
      </c>
      <c r="F21" s="8">
        <v>249.32130000000001</v>
      </c>
      <c r="G21" s="8">
        <v>100.5699</v>
      </c>
      <c r="H21" s="8">
        <v>985.99511600000005</v>
      </c>
      <c r="I21" s="1"/>
      <c r="J21" s="1"/>
      <c r="K21" s="1" t="s">
        <v>163</v>
      </c>
      <c r="L21" s="1"/>
      <c r="M21" s="1"/>
      <c r="N21" s="1"/>
      <c r="O21" s="1"/>
    </row>
    <row r="22" spans="1:15" ht="19.95" customHeight="1" x14ac:dyDescent="0.3">
      <c r="A22" s="7">
        <v>46125</v>
      </c>
      <c r="B22" s="8">
        <v>525.8261</v>
      </c>
      <c r="C22" s="8">
        <v>1215.2239999999999</v>
      </c>
      <c r="D22" s="8">
        <v>836.41690000000006</v>
      </c>
      <c r="E22" s="8">
        <v>423.71800000000002</v>
      </c>
      <c r="F22" s="8">
        <v>247.81299999999999</v>
      </c>
      <c r="G22" s="8">
        <v>100.5634</v>
      </c>
      <c r="H22" s="8">
        <v>979.68122000000005</v>
      </c>
      <c r="I22" s="1"/>
      <c r="J22" s="1"/>
      <c r="K22" s="1"/>
      <c r="L22" s="1"/>
      <c r="M22" s="1"/>
      <c r="N22" s="1"/>
      <c r="O22" s="1"/>
    </row>
    <row r="23" spans="1:15" ht="19.95" customHeight="1" x14ac:dyDescent="0.3">
      <c r="A23" s="7">
        <v>46126</v>
      </c>
      <c r="B23" s="8">
        <v>531.84910000000002</v>
      </c>
      <c r="C23" s="8">
        <v>1214.1178</v>
      </c>
      <c r="D23" s="8">
        <v>839.28279999999995</v>
      </c>
      <c r="E23" s="8">
        <v>426.29230000000001</v>
      </c>
      <c r="F23" s="8">
        <v>249.24770000000001</v>
      </c>
      <c r="G23" s="8">
        <v>100.5509</v>
      </c>
      <c r="H23" s="8">
        <v>983.65432999999996</v>
      </c>
      <c r="I23" s="1"/>
      <c r="J23" s="1"/>
      <c r="K23" s="1"/>
      <c r="L23" s="1"/>
      <c r="M23" s="1"/>
      <c r="N23" s="1"/>
      <c r="O23" s="1"/>
    </row>
    <row r="24" spans="1:15" ht="19.95" customHeight="1" x14ac:dyDescent="0.3">
      <c r="A24" s="7">
        <v>46127</v>
      </c>
      <c r="B24" s="8">
        <v>528.66010000000006</v>
      </c>
      <c r="C24" s="8">
        <v>1206.0775000000001</v>
      </c>
      <c r="D24" s="8">
        <v>830.33010000000002</v>
      </c>
      <c r="E24" s="8">
        <v>420.57089999999999</v>
      </c>
      <c r="F24" s="8">
        <v>249.47810000000001</v>
      </c>
      <c r="G24" s="8">
        <v>100.4606</v>
      </c>
      <c r="H24" s="8">
        <v>984.74649299999999</v>
      </c>
      <c r="I24" s="1"/>
      <c r="J24" s="1"/>
      <c r="K24" s="1"/>
      <c r="L24" s="1"/>
      <c r="M24" s="1"/>
      <c r="N24" s="1"/>
      <c r="O24" s="1"/>
    </row>
    <row r="25" spans="1:15" ht="19.95" customHeight="1" x14ac:dyDescent="0.3">
      <c r="A25" s="7">
        <v>46128</v>
      </c>
      <c r="B25" s="8">
        <v>528.77170000000001</v>
      </c>
      <c r="C25" s="8">
        <v>1218.5278000000001</v>
      </c>
      <c r="D25" s="8">
        <v>835.63229999999999</v>
      </c>
      <c r="E25" s="8">
        <v>428.37470000000002</v>
      </c>
      <c r="F25" s="8">
        <v>250.56450000000001</v>
      </c>
      <c r="G25" s="8">
        <v>100.5498</v>
      </c>
      <c r="H25" s="8">
        <v>987.54352300000005</v>
      </c>
      <c r="I25" s="1"/>
      <c r="J25" s="1"/>
      <c r="K25" s="1"/>
      <c r="L25" s="1"/>
      <c r="M25" s="1"/>
      <c r="N25" s="1"/>
      <c r="O25" s="1"/>
    </row>
    <row r="26" spans="1:15" ht="19.95" customHeight="1" x14ac:dyDescent="0.3">
      <c r="A26" s="7">
        <v>46129</v>
      </c>
      <c r="B26" s="8">
        <v>528.05169999999998</v>
      </c>
      <c r="C26" s="8">
        <v>1223.9804999999999</v>
      </c>
      <c r="D26" s="8">
        <v>835.89260000000002</v>
      </c>
      <c r="E26" s="8">
        <v>423.7047</v>
      </c>
      <c r="F26" s="8">
        <v>250.36760000000001</v>
      </c>
      <c r="G26" s="8">
        <v>100.5003</v>
      </c>
      <c r="H26" s="8">
        <v>988.54471999999998</v>
      </c>
      <c r="I26" s="1"/>
      <c r="J26" s="1"/>
      <c r="K26" s="1"/>
      <c r="L26" s="1"/>
      <c r="M26" s="1"/>
      <c r="N26" s="1"/>
      <c r="O26" s="1"/>
    </row>
    <row r="27" spans="1:15" ht="19.95" customHeight="1" x14ac:dyDescent="0.3">
      <c r="A27" s="7">
        <v>46132</v>
      </c>
      <c r="B27" s="8">
        <v>524.89509999999996</v>
      </c>
      <c r="C27" s="8">
        <v>1197.259</v>
      </c>
      <c r="D27" s="8">
        <v>826.62760000000003</v>
      </c>
      <c r="E27" s="8">
        <v>421.87909999999999</v>
      </c>
      <c r="F27" s="8">
        <v>249.20949999999999</v>
      </c>
      <c r="G27" s="8">
        <v>100.3258</v>
      </c>
      <c r="H27" s="8">
        <v>977.84281099999998</v>
      </c>
      <c r="I27" s="1"/>
      <c r="J27" s="1"/>
      <c r="K27" s="1"/>
      <c r="L27" s="1"/>
      <c r="M27" s="1"/>
      <c r="N27" s="1"/>
      <c r="O27" s="1"/>
    </row>
    <row r="28" spans="1:15" ht="19.95" customHeight="1" x14ac:dyDescent="0.3">
      <c r="A28" s="7">
        <v>46133</v>
      </c>
      <c r="B28" s="8">
        <v>522.87310000000002</v>
      </c>
      <c r="C28" s="8">
        <v>1198.1204</v>
      </c>
      <c r="D28" s="8">
        <v>836.8501</v>
      </c>
      <c r="E28" s="8">
        <v>424.17009999999999</v>
      </c>
      <c r="F28" s="8">
        <v>249.32169999999999</v>
      </c>
      <c r="G28" s="8">
        <v>100.3484</v>
      </c>
      <c r="H28" s="8">
        <v>978.30248700000004</v>
      </c>
      <c r="I28" s="1"/>
      <c r="J28" s="1"/>
      <c r="K28" s="1"/>
      <c r="L28" s="1"/>
      <c r="M28" s="1"/>
      <c r="N28" s="1"/>
      <c r="O28" s="1"/>
    </row>
    <row r="29" spans="1:15" ht="19.95" customHeight="1" x14ac:dyDescent="0.3">
      <c r="A29" s="7">
        <v>46134</v>
      </c>
      <c r="B29" s="8">
        <v>523.24069999999995</v>
      </c>
      <c r="C29" s="8">
        <v>1198.6505999999999</v>
      </c>
      <c r="D29" s="8">
        <v>837.52719999999999</v>
      </c>
      <c r="E29" s="8">
        <v>422.84989999999999</v>
      </c>
      <c r="F29" s="8">
        <v>249.59649999999999</v>
      </c>
      <c r="G29" s="8">
        <v>100.38630000000001</v>
      </c>
      <c r="H29" s="8">
        <v>974.78268800000001</v>
      </c>
      <c r="I29" s="1"/>
      <c r="J29" s="1"/>
      <c r="K29" s="1"/>
      <c r="L29" s="1"/>
      <c r="M29" s="1"/>
      <c r="N29" s="1"/>
      <c r="O29" s="1"/>
    </row>
    <row r="30" spans="1:15" ht="19.95" customHeight="1" x14ac:dyDescent="0.3">
      <c r="A30" s="7">
        <v>46135</v>
      </c>
      <c r="B30" s="8">
        <v>520.38840000000005</v>
      </c>
      <c r="C30" s="8">
        <v>1194.9614999999999</v>
      </c>
      <c r="D30" s="8">
        <v>834.26900000000001</v>
      </c>
      <c r="E30" s="8">
        <v>419.38080000000002</v>
      </c>
      <c r="F30" s="8">
        <v>249.52510000000001</v>
      </c>
      <c r="G30" s="8">
        <v>100.2829</v>
      </c>
      <c r="H30" s="8">
        <v>971.79288199999996</v>
      </c>
      <c r="I30" s="1"/>
      <c r="J30" s="1"/>
      <c r="K30" s="1"/>
      <c r="L30" s="1"/>
      <c r="M30" s="1"/>
      <c r="N30" s="1"/>
      <c r="O30" s="1"/>
    </row>
    <row r="31" spans="1:15" ht="19.95" customHeight="1" x14ac:dyDescent="0.3">
      <c r="A31" s="7">
        <v>46136</v>
      </c>
      <c r="B31" s="8">
        <v>521.20579999999995</v>
      </c>
      <c r="C31" s="8">
        <v>1211.8351</v>
      </c>
      <c r="D31" s="8">
        <v>837.68140000000005</v>
      </c>
      <c r="E31" s="8">
        <v>423.25670000000002</v>
      </c>
      <c r="F31" s="8">
        <v>250.50299999999999</v>
      </c>
      <c r="G31" s="8">
        <v>100.21550000000001</v>
      </c>
      <c r="H31" s="8">
        <v>973.282689</v>
      </c>
      <c r="I31" s="1"/>
      <c r="J31" s="1"/>
      <c r="K31" s="1"/>
      <c r="L31" s="1"/>
      <c r="M31" s="1"/>
      <c r="N31" s="1"/>
      <c r="O31" s="1"/>
    </row>
    <row r="32" spans="1:15" ht="19.95" customHeight="1" x14ac:dyDescent="0.3">
      <c r="A32" s="7">
        <v>46139</v>
      </c>
      <c r="B32" s="8">
        <v>515.25969999999995</v>
      </c>
      <c r="C32" s="8">
        <v>1183.4147</v>
      </c>
      <c r="D32" s="8">
        <v>829.12120000000004</v>
      </c>
      <c r="E32" s="8">
        <v>419.29539999999997</v>
      </c>
      <c r="F32" s="8">
        <v>248.1413</v>
      </c>
      <c r="G32" s="8">
        <v>100.29219999999999</v>
      </c>
      <c r="H32" s="8">
        <v>965.37743999999998</v>
      </c>
      <c r="I32" s="1"/>
      <c r="J32" s="1"/>
      <c r="K32" s="1"/>
      <c r="L32" s="1"/>
      <c r="M32" s="1"/>
      <c r="N32" s="1"/>
      <c r="O32" s="1"/>
    </row>
    <row r="33" spans="1:15" ht="19.95" customHeight="1" x14ac:dyDescent="0.3">
      <c r="A33" s="7">
        <v>46140</v>
      </c>
      <c r="B33" s="8">
        <v>519.63440000000003</v>
      </c>
      <c r="C33" s="8">
        <v>1203.0545999999999</v>
      </c>
      <c r="D33" s="8">
        <v>832.62</v>
      </c>
      <c r="E33" s="8">
        <v>422.09980000000002</v>
      </c>
      <c r="F33" s="8">
        <v>249.91210000000001</v>
      </c>
      <c r="G33" s="8">
        <v>100.3948</v>
      </c>
      <c r="H33" s="8">
        <v>973.03479200000004</v>
      </c>
      <c r="I33" s="1"/>
      <c r="J33" s="1"/>
      <c r="K33" s="1"/>
      <c r="L33" s="1"/>
      <c r="M33" s="1"/>
      <c r="N33" s="1"/>
      <c r="O33" s="1"/>
    </row>
    <row r="34" spans="1:15" ht="19.95" customHeight="1" x14ac:dyDescent="0.3">
      <c r="A34" s="7">
        <v>46141</v>
      </c>
      <c r="B34" s="8">
        <v>518.53510000000006</v>
      </c>
      <c r="C34" s="8">
        <v>1188.7043000000001</v>
      </c>
      <c r="D34" s="8">
        <v>829.87249999999995</v>
      </c>
      <c r="E34" s="8">
        <v>425.10700000000003</v>
      </c>
      <c r="F34" s="8">
        <v>250.69200000000001</v>
      </c>
      <c r="G34" s="8">
        <v>100.41379999999999</v>
      </c>
      <c r="H34" s="8">
        <v>972.56869500000005</v>
      </c>
      <c r="I34" s="1"/>
      <c r="J34" s="1"/>
      <c r="K34" s="1"/>
      <c r="L34" s="1"/>
      <c r="M34" s="1"/>
      <c r="N34" s="1"/>
      <c r="O34" s="1"/>
    </row>
    <row r="35" spans="1:15" ht="19.95" customHeight="1" x14ac:dyDescent="0.3">
      <c r="A35" s="7">
        <v>46142</v>
      </c>
      <c r="B35" s="8">
        <v>521.17280000000005</v>
      </c>
      <c r="C35" s="8">
        <v>1183.9452000000001</v>
      </c>
      <c r="D35" s="8">
        <v>831.8954</v>
      </c>
      <c r="E35" s="8">
        <v>428.67590000000001</v>
      </c>
      <c r="F35" s="8">
        <v>250.64359999999999</v>
      </c>
      <c r="G35" s="8">
        <v>100.31399999999999</v>
      </c>
      <c r="H35" s="8">
        <v>971.47489099999996</v>
      </c>
      <c r="I35" s="1"/>
      <c r="J35" s="1"/>
      <c r="K35" s="1"/>
      <c r="L35" s="1"/>
      <c r="M35" s="1"/>
      <c r="N35" s="1"/>
      <c r="O35" s="1"/>
    </row>
    <row r="36" spans="1:15" ht="19.95" customHeight="1" x14ac:dyDescent="0.3">
      <c r="A36" s="7">
        <v>46143</v>
      </c>
      <c r="B36" s="8">
        <v>518.6703</v>
      </c>
      <c r="C36" s="8">
        <v>1181.2083</v>
      </c>
      <c r="D36" s="8">
        <v>827.47749999999996</v>
      </c>
      <c r="E36" s="8">
        <v>429.31180000000001</v>
      </c>
      <c r="F36" s="8">
        <v>249.6806</v>
      </c>
      <c r="G36" s="8">
        <v>100.33410000000001</v>
      </c>
      <c r="H36" s="8">
        <v>968.09650199999999</v>
      </c>
      <c r="I36" s="1"/>
      <c r="J36" s="1"/>
      <c r="K36" s="1"/>
      <c r="L36" s="1"/>
      <c r="M36" s="1"/>
      <c r="N36" s="1"/>
      <c r="O36" s="1"/>
    </row>
    <row r="37" spans="1:15" ht="19.95" customHeight="1" x14ac:dyDescent="0.3">
      <c r="A37" s="7">
        <v>46146</v>
      </c>
      <c r="B37" s="8">
        <v>517.03390000000002</v>
      </c>
      <c r="C37" s="8">
        <v>1176.2397000000001</v>
      </c>
      <c r="D37" s="8">
        <v>822.3646</v>
      </c>
      <c r="E37" s="8">
        <v>431.14330000000001</v>
      </c>
      <c r="F37" s="8">
        <v>250.46979999999999</v>
      </c>
      <c r="G37" s="8">
        <v>100.34269999999999</v>
      </c>
      <c r="H37" s="8">
        <v>966.99595199999999</v>
      </c>
      <c r="I37" s="1"/>
      <c r="J37" s="1"/>
      <c r="K37" s="1"/>
      <c r="L37" s="1"/>
      <c r="M37" s="1"/>
      <c r="N37" s="1"/>
      <c r="O37" s="1"/>
    </row>
    <row r="38" spans="1:15" ht="19.95" customHeight="1" x14ac:dyDescent="0.3">
      <c r="A38" s="7">
        <v>46147</v>
      </c>
      <c r="B38" s="8">
        <v>514.4941</v>
      </c>
      <c r="C38" s="8">
        <v>1169.0246999999999</v>
      </c>
      <c r="D38" s="8">
        <v>821.28459999999995</v>
      </c>
      <c r="E38" s="8">
        <v>431.66559999999998</v>
      </c>
      <c r="F38" s="8">
        <v>249.34209999999999</v>
      </c>
      <c r="G38" s="8">
        <v>100.4679</v>
      </c>
      <c r="H38" s="8">
        <v>958.09396300000003</v>
      </c>
      <c r="I38" s="1"/>
      <c r="J38" s="1"/>
      <c r="K38" s="1"/>
      <c r="L38" s="1"/>
      <c r="M38" s="1"/>
      <c r="N38" s="1"/>
      <c r="O38" s="1"/>
    </row>
    <row r="39" spans="1:15" ht="19.95" customHeight="1" x14ac:dyDescent="0.3">
      <c r="A39" s="7">
        <v>46148</v>
      </c>
      <c r="B39" s="8">
        <v>516.56039999999996</v>
      </c>
      <c r="C39" s="8">
        <v>1156.1786999999999</v>
      </c>
      <c r="D39" s="8">
        <v>821.42589999999996</v>
      </c>
      <c r="E39" s="8">
        <v>432.23610000000002</v>
      </c>
      <c r="F39" s="8">
        <v>249.19890000000001</v>
      </c>
      <c r="G39" s="8">
        <v>100.2923</v>
      </c>
      <c r="H39" s="8">
        <v>953.99080800000002</v>
      </c>
      <c r="I39" s="1"/>
      <c r="J39" s="1"/>
      <c r="K39" s="1"/>
      <c r="L39" s="1"/>
      <c r="M39" s="1"/>
      <c r="N39" s="1"/>
      <c r="O39" s="1"/>
    </row>
    <row r="40" spans="1:15" ht="19.95" customHeight="1" x14ac:dyDescent="0.3">
      <c r="A40" s="7">
        <v>46149</v>
      </c>
      <c r="B40" s="8">
        <v>508.08049999999997</v>
      </c>
      <c r="C40" s="8">
        <v>1166.2968000000001</v>
      </c>
      <c r="D40" s="8">
        <v>814.75319999999999</v>
      </c>
      <c r="E40" s="8">
        <v>429.70229999999998</v>
      </c>
      <c r="F40" s="8">
        <v>248.76230000000001</v>
      </c>
      <c r="G40" s="8">
        <v>100.3462</v>
      </c>
      <c r="H40" s="8">
        <v>951.16391899999996</v>
      </c>
      <c r="I40" s="1"/>
      <c r="J40" s="1"/>
      <c r="K40" s="1"/>
      <c r="L40" s="1"/>
      <c r="M40" s="1"/>
      <c r="N40" s="1"/>
      <c r="O40" s="1"/>
    </row>
    <row r="41" spans="1:15" ht="19.95" customHeight="1" x14ac:dyDescent="0.3">
      <c r="A41" s="7">
        <v>46150</v>
      </c>
      <c r="B41" s="8">
        <v>508.28710000000001</v>
      </c>
      <c r="C41" s="8">
        <v>1177.2883999999999</v>
      </c>
      <c r="D41" s="8">
        <v>814.88739999999996</v>
      </c>
      <c r="E41" s="8">
        <v>428.86239999999998</v>
      </c>
      <c r="F41" s="8">
        <v>248.61109999999999</v>
      </c>
      <c r="G41" s="8">
        <v>100.47450000000001</v>
      </c>
      <c r="H41" s="8">
        <v>953.82601299999999</v>
      </c>
      <c r="I41" s="1"/>
      <c r="J41" s="1"/>
      <c r="K41" s="1"/>
      <c r="L41" s="1"/>
      <c r="M41" s="1"/>
      <c r="N41" s="1"/>
      <c r="O41" s="1"/>
    </row>
    <row r="42" spans="1:15" ht="19.95" customHeight="1" x14ac:dyDescent="0.3">
      <c r="A42" s="7">
        <v>46153</v>
      </c>
      <c r="B42" s="8">
        <v>501.93380000000002</v>
      </c>
      <c r="C42" s="8">
        <v>1200.2643</v>
      </c>
      <c r="D42" s="8">
        <v>818.58249999999998</v>
      </c>
      <c r="E42" s="8">
        <v>430.10730000000001</v>
      </c>
      <c r="F42" s="8">
        <v>248.94130000000001</v>
      </c>
      <c r="G42" s="8">
        <v>100.5575</v>
      </c>
      <c r="H42" s="8">
        <v>954.95950800000003</v>
      </c>
      <c r="I42" s="1"/>
      <c r="J42" s="1"/>
      <c r="K42" s="1"/>
      <c r="L42" s="1"/>
      <c r="M42" s="1"/>
      <c r="N42" s="1"/>
      <c r="O42" s="1"/>
    </row>
    <row r="43" spans="1:15" ht="19.95" customHeight="1" x14ac:dyDescent="0.3">
      <c r="A43" s="7">
        <v>46154</v>
      </c>
      <c r="B43" s="8">
        <v>502.81389999999999</v>
      </c>
      <c r="C43" s="8">
        <v>1214.1103000000001</v>
      </c>
      <c r="D43" s="8">
        <v>819.08900000000006</v>
      </c>
      <c r="E43" s="8">
        <v>429.76170000000002</v>
      </c>
      <c r="F43" s="8">
        <v>248.655</v>
      </c>
      <c r="G43" s="8">
        <v>100.5441</v>
      </c>
      <c r="H43" s="8">
        <v>949.23891000000003</v>
      </c>
      <c r="I43" s="1"/>
      <c r="J43" s="1"/>
      <c r="K43" s="1"/>
      <c r="L43" s="1"/>
      <c r="M43" s="1"/>
      <c r="N43" s="1"/>
      <c r="O43" s="1"/>
    </row>
    <row r="44" spans="1:15" ht="19.95" customHeight="1" x14ac:dyDescent="0.3">
      <c r="A44" s="7">
        <v>46155</v>
      </c>
      <c r="B44" s="8">
        <v>504.68459999999999</v>
      </c>
      <c r="C44" s="8">
        <v>1227.1495</v>
      </c>
      <c r="D44" s="8">
        <v>822.89189999999996</v>
      </c>
      <c r="E44" s="8">
        <v>434.94889999999998</v>
      </c>
      <c r="F44" s="8">
        <v>249.69229999999999</v>
      </c>
      <c r="G44" s="8">
        <v>100.6947</v>
      </c>
      <c r="H44" s="8">
        <v>953.65521999999999</v>
      </c>
      <c r="I44" s="1"/>
      <c r="J44" s="1"/>
      <c r="K44" s="1"/>
      <c r="L44" s="1"/>
      <c r="M44" s="1"/>
      <c r="N44" s="1"/>
      <c r="O44" s="1"/>
    </row>
    <row r="45" spans="1:15" ht="19.95" customHeight="1" x14ac:dyDescent="0.3">
      <c r="A45" s="7">
        <v>46156</v>
      </c>
      <c r="B45" s="8">
        <v>497.74770000000001</v>
      </c>
      <c r="C45" s="8">
        <v>1215.7066</v>
      </c>
      <c r="D45" s="8">
        <v>826.87909999999999</v>
      </c>
      <c r="E45" s="8">
        <v>432.36599999999999</v>
      </c>
      <c r="F45" s="8">
        <v>250.52250000000001</v>
      </c>
      <c r="G45" s="8">
        <v>100.7041</v>
      </c>
      <c r="H45" s="8">
        <v>955.69776300000001</v>
      </c>
      <c r="I45" s="1"/>
      <c r="J45" s="1"/>
      <c r="K45" s="1"/>
      <c r="L45" s="1"/>
      <c r="M45" s="1"/>
      <c r="N45" s="1"/>
      <c r="O45" s="1"/>
    </row>
    <row r="46" spans="1:15" ht="19.95" customHeight="1" x14ac:dyDescent="0.3">
      <c r="A46" s="7">
        <v>46157</v>
      </c>
      <c r="B46" s="8">
        <v>498.98099999999999</v>
      </c>
      <c r="C46" s="8">
        <v>1197.3665000000001</v>
      </c>
      <c r="D46" s="8">
        <v>827.88419999999996</v>
      </c>
      <c r="E46" s="8">
        <v>429.08940000000001</v>
      </c>
      <c r="F46" s="8">
        <v>249.25200000000001</v>
      </c>
      <c r="G46" s="8">
        <v>100.74469999999999</v>
      </c>
      <c r="H46" s="8">
        <v>948.21611199999995</v>
      </c>
      <c r="I46" s="1"/>
      <c r="J46" s="1"/>
      <c r="K46" s="1"/>
      <c r="L46" s="1"/>
      <c r="M46" s="1"/>
      <c r="N46" s="1"/>
      <c r="O46" s="1"/>
    </row>
    <row r="47" spans="1:15" ht="19.95" customHeight="1" x14ac:dyDescent="0.3">
      <c r="A47" s="7">
        <v>46160</v>
      </c>
      <c r="B47" s="8">
        <v>494.25510000000003</v>
      </c>
      <c r="C47" s="8">
        <v>1203.7823000000001</v>
      </c>
      <c r="D47" s="8">
        <v>823.92970000000003</v>
      </c>
      <c r="E47" s="8">
        <v>426.17509999999999</v>
      </c>
      <c r="F47" s="8">
        <v>248.11279999999999</v>
      </c>
      <c r="G47" s="8">
        <v>100.92059999999999</v>
      </c>
      <c r="H47" s="8">
        <v>942.45118000000002</v>
      </c>
      <c r="I47" s="1"/>
      <c r="J47" s="1"/>
      <c r="K47" s="1"/>
      <c r="L47" s="1"/>
      <c r="M47" s="1"/>
      <c r="N47" s="1"/>
      <c r="O47" s="1"/>
    </row>
    <row r="48" spans="1:15" ht="19.95" customHeight="1" x14ac:dyDescent="0.3">
      <c r="A48" s="7">
        <v>46161</v>
      </c>
      <c r="B48" s="8">
        <v>495.84210000000002</v>
      </c>
      <c r="C48" s="8">
        <v>1192.6751999999999</v>
      </c>
      <c r="D48" s="8">
        <v>810.79079999999999</v>
      </c>
      <c r="E48" s="8">
        <v>424.73500000000001</v>
      </c>
      <c r="F48" s="8">
        <v>246.59880000000001</v>
      </c>
      <c r="G48" s="8">
        <v>100.8771</v>
      </c>
      <c r="H48" s="8">
        <v>936.25772900000004</v>
      </c>
      <c r="I48" s="1"/>
      <c r="J48" s="1"/>
      <c r="K48" s="1"/>
      <c r="L48" s="1"/>
      <c r="M48" s="1"/>
      <c r="N48" s="1"/>
      <c r="O48" s="1"/>
    </row>
    <row r="49" spans="1:15" ht="19.95" customHeight="1" x14ac:dyDescent="0.3">
      <c r="A49" s="7">
        <v>46162</v>
      </c>
      <c r="B49" s="8">
        <v>500.75130000000001</v>
      </c>
      <c r="C49" s="8">
        <v>1186.4161999999999</v>
      </c>
      <c r="D49" s="8">
        <v>810.02809999999999</v>
      </c>
      <c r="E49" s="8">
        <v>426.69369999999998</v>
      </c>
      <c r="F49" s="8">
        <v>247.93969999999999</v>
      </c>
      <c r="G49" s="8">
        <v>100.9956</v>
      </c>
      <c r="H49" s="8">
        <v>940.44138799999996</v>
      </c>
      <c r="I49" s="1"/>
      <c r="J49" s="1"/>
      <c r="K49" s="1"/>
      <c r="L49" s="1"/>
      <c r="M49" s="1"/>
      <c r="N49" s="1"/>
      <c r="O49" s="1"/>
    </row>
    <row r="50" spans="1:15" ht="19.95" customHeight="1" x14ac:dyDescent="0.3">
      <c r="A50" s="7">
        <v>46163</v>
      </c>
      <c r="B50" s="8">
        <v>496.73910000000001</v>
      </c>
      <c r="C50" s="8">
        <v>1173.6746000000001</v>
      </c>
      <c r="D50" s="8">
        <v>804.5693</v>
      </c>
      <c r="E50" s="8">
        <v>426.93509999999998</v>
      </c>
      <c r="F50" s="8">
        <v>247.4453</v>
      </c>
      <c r="G50" s="8">
        <v>100.9927</v>
      </c>
      <c r="H50" s="8">
        <v>937.80746599999998</v>
      </c>
      <c r="I50" s="1"/>
      <c r="J50" s="1"/>
      <c r="K50" s="1"/>
      <c r="L50" s="1"/>
      <c r="M50" s="1"/>
      <c r="N50" s="1"/>
      <c r="O50" s="1"/>
    </row>
    <row r="51" spans="1:15" ht="19.95" customHeight="1" x14ac:dyDescent="0.3">
      <c r="A51" s="7">
        <v>46164</v>
      </c>
      <c r="B51" s="8">
        <v>497.32729999999998</v>
      </c>
      <c r="C51" s="8">
        <v>1165.3619000000001</v>
      </c>
      <c r="D51" s="8">
        <v>799.56949999999995</v>
      </c>
      <c r="E51" s="8">
        <v>428.43470000000002</v>
      </c>
      <c r="F51" s="8">
        <v>247.37190000000001</v>
      </c>
      <c r="G51" s="8">
        <v>100.9114</v>
      </c>
      <c r="H51" s="8">
        <v>937.94179999999994</v>
      </c>
      <c r="I51" s="1"/>
      <c r="J51" s="1"/>
      <c r="K51" s="1"/>
      <c r="L51" s="1"/>
      <c r="M51" s="1"/>
      <c r="N51" s="1"/>
      <c r="O51" s="1"/>
    </row>
    <row r="52" spans="1:15" ht="19.95" customHeight="1" x14ac:dyDescent="0.3">
      <c r="A52" s="7">
        <v>46167</v>
      </c>
      <c r="B52" s="8">
        <v>505.80930000000001</v>
      </c>
      <c r="C52" s="8">
        <v>1174.9070999999999</v>
      </c>
      <c r="D52" s="8">
        <v>801.02329999999995</v>
      </c>
      <c r="E52" s="8">
        <v>428.91699999999997</v>
      </c>
      <c r="F52" s="8">
        <v>247.80690000000001</v>
      </c>
      <c r="G52" s="8">
        <v>100.917</v>
      </c>
      <c r="H52" s="8">
        <v>941.36445300000003</v>
      </c>
      <c r="I52" s="1"/>
      <c r="J52" s="1"/>
      <c r="K52" s="1"/>
      <c r="L52" s="1"/>
      <c r="M52" s="1"/>
      <c r="N52" s="1"/>
      <c r="O52" s="1"/>
    </row>
    <row r="53" spans="1:15" ht="19.95" customHeight="1" x14ac:dyDescent="0.3">
      <c r="A53" s="7">
        <v>46168</v>
      </c>
      <c r="B53" s="8">
        <v>508.1456</v>
      </c>
      <c r="C53" s="8">
        <v>1169.2048</v>
      </c>
      <c r="D53" s="8">
        <v>807.07730000000004</v>
      </c>
      <c r="E53" s="8">
        <v>425.2475</v>
      </c>
      <c r="F53" s="8">
        <v>247.7002</v>
      </c>
      <c r="G53" s="8">
        <v>100.9815</v>
      </c>
      <c r="H53" s="8">
        <v>944.88302399999998</v>
      </c>
      <c r="I53" s="1"/>
      <c r="J53" s="1"/>
      <c r="K53" s="1"/>
      <c r="L53" s="1"/>
      <c r="M53" s="1"/>
      <c r="N53" s="1"/>
      <c r="O53" s="1"/>
    </row>
    <row r="54" spans="1:15" ht="19.95" customHeight="1" x14ac:dyDescent="0.3">
      <c r="A54" s="7">
        <v>46169</v>
      </c>
      <c r="B54" s="8">
        <v>512.49839999999995</v>
      </c>
      <c r="C54" s="8">
        <v>1172.9928</v>
      </c>
      <c r="D54" s="8">
        <v>811.16160000000002</v>
      </c>
      <c r="E54" s="8">
        <v>423.13339999999999</v>
      </c>
      <c r="F54" s="8">
        <v>247.81739999999999</v>
      </c>
      <c r="G54" s="8">
        <v>101.2033</v>
      </c>
      <c r="H54" s="8">
        <v>945.69688599999995</v>
      </c>
      <c r="I54" s="1"/>
      <c r="J54" s="1"/>
      <c r="K54" s="1"/>
      <c r="L54" s="1"/>
      <c r="M54" s="1"/>
      <c r="N54" s="1"/>
      <c r="O54" s="1"/>
    </row>
    <row r="55" spans="1:15" ht="19.95" customHeight="1" x14ac:dyDescent="0.3">
      <c r="A55" s="7">
        <v>46170</v>
      </c>
      <c r="B55" s="8">
        <v>512.5412</v>
      </c>
      <c r="C55" s="8">
        <v>1155.7516000000001</v>
      </c>
      <c r="D55" s="8">
        <v>809.15060000000005</v>
      </c>
      <c r="E55" s="8">
        <v>421.8648</v>
      </c>
      <c r="F55" s="8">
        <v>246.34780000000001</v>
      </c>
      <c r="G55" s="8">
        <v>101.35890000000001</v>
      </c>
      <c r="H55" s="8">
        <v>940.87773400000003</v>
      </c>
      <c r="I55" s="1"/>
      <c r="J55" s="1"/>
      <c r="K55" s="1"/>
      <c r="L55" s="1"/>
      <c r="M55" s="1"/>
      <c r="N55" s="1"/>
      <c r="O55" s="1"/>
    </row>
    <row r="56" spans="1:15" ht="19.95" customHeight="1" x14ac:dyDescent="0.3">
      <c r="A56" s="7">
        <v>46171</v>
      </c>
      <c r="B56" s="8">
        <v>513.9384</v>
      </c>
      <c r="C56" s="8">
        <v>1157.1258</v>
      </c>
      <c r="D56" s="8">
        <v>812.54579999999999</v>
      </c>
      <c r="E56" s="8">
        <v>426.4923</v>
      </c>
      <c r="F56" s="8">
        <v>247.84739999999999</v>
      </c>
      <c r="G56" s="8">
        <v>101.5581</v>
      </c>
      <c r="H56" s="8">
        <v>942.93305799999996</v>
      </c>
      <c r="I56" s="1"/>
      <c r="J56" s="1"/>
      <c r="K56" s="1"/>
      <c r="L56" s="1"/>
      <c r="M56" s="1"/>
      <c r="N56" s="1"/>
      <c r="O56" s="1"/>
    </row>
    <row r="57" spans="1:15" ht="19.95" customHeight="1" x14ac:dyDescent="0.3">
      <c r="A57" s="7">
        <v>46174</v>
      </c>
      <c r="B57" s="8">
        <v>516.93100000000004</v>
      </c>
      <c r="C57" s="8">
        <v>1148.8268</v>
      </c>
      <c r="D57" s="8">
        <v>820.14430000000004</v>
      </c>
      <c r="E57" s="8">
        <v>425.35250000000002</v>
      </c>
      <c r="F57" s="8">
        <v>247.7209</v>
      </c>
      <c r="G57" s="8">
        <v>101.6674</v>
      </c>
      <c r="H57" s="8">
        <v>944.38493100000005</v>
      </c>
      <c r="I57" s="1"/>
      <c r="J57" s="1"/>
      <c r="K57" s="1"/>
      <c r="L57" s="1"/>
      <c r="M57" s="1"/>
      <c r="N57" s="1"/>
      <c r="O57" s="1"/>
    </row>
    <row r="58" spans="1:15" ht="19.95" customHeight="1" x14ac:dyDescent="0.3">
      <c r="A58" s="7">
        <v>46175</v>
      </c>
      <c r="B58" s="8">
        <v>519.87350000000004</v>
      </c>
      <c r="C58" s="8">
        <v>1132.0039999999999</v>
      </c>
      <c r="D58" s="8">
        <v>819.30740000000003</v>
      </c>
      <c r="E58" s="8">
        <v>415.60840000000002</v>
      </c>
      <c r="F58" s="8">
        <v>245.07429999999999</v>
      </c>
      <c r="G58" s="8">
        <v>101.6397</v>
      </c>
      <c r="H58" s="8">
        <v>936.38501399999996</v>
      </c>
      <c r="I58" s="1"/>
      <c r="J58" s="1"/>
      <c r="K58" s="1"/>
      <c r="L58" s="1"/>
      <c r="M58" s="1"/>
      <c r="N58" s="1"/>
      <c r="O58" s="1"/>
    </row>
    <row r="59" spans="1:15" ht="19.95" customHeight="1" x14ac:dyDescent="0.3">
      <c r="A59" s="7">
        <v>46176</v>
      </c>
      <c r="B59" s="8">
        <v>516.7627</v>
      </c>
      <c r="C59" s="8">
        <v>1146.4346</v>
      </c>
      <c r="D59" s="8">
        <v>812.73760000000004</v>
      </c>
      <c r="E59" s="8">
        <v>412.33350000000002</v>
      </c>
      <c r="F59" s="8">
        <v>244.94890000000001</v>
      </c>
      <c r="G59" s="8">
        <v>101.6143</v>
      </c>
      <c r="H59" s="8">
        <v>934.46089500000005</v>
      </c>
      <c r="I59" s="1"/>
      <c r="J59" s="1"/>
      <c r="K59" s="1"/>
      <c r="L59" s="1"/>
      <c r="M59" s="1"/>
      <c r="N59" s="1"/>
      <c r="O59" s="1"/>
    </row>
    <row r="60" spans="1:15" ht="19.95" customHeight="1" x14ac:dyDescent="0.3">
      <c r="A60" s="7">
        <v>46177</v>
      </c>
      <c r="B60" s="8">
        <v>509.46390000000002</v>
      </c>
      <c r="C60" s="8">
        <v>1133.0826</v>
      </c>
      <c r="D60" s="8">
        <v>818.34450000000004</v>
      </c>
      <c r="E60" s="8">
        <v>410.0675</v>
      </c>
      <c r="F60" s="8">
        <v>243.74369999999999</v>
      </c>
      <c r="G60" s="8">
        <v>101.6433</v>
      </c>
      <c r="H60" s="8">
        <v>928.27478699999995</v>
      </c>
      <c r="I60" s="1"/>
      <c r="J60" s="1"/>
      <c r="K60" s="1"/>
      <c r="L60" s="1"/>
      <c r="M60" s="1"/>
      <c r="N60" s="1"/>
      <c r="O60" s="1"/>
    </row>
    <row r="61" spans="1:15" ht="19.95" customHeight="1" x14ac:dyDescent="0.3">
      <c r="A61" s="7">
        <v>46178</v>
      </c>
      <c r="B61" s="8">
        <v>512.33979999999997</v>
      </c>
      <c r="C61" s="8">
        <v>1143.9054000000001</v>
      </c>
      <c r="D61" s="8">
        <v>820.76480000000004</v>
      </c>
      <c r="E61" s="8">
        <v>410.745</v>
      </c>
      <c r="F61" s="8">
        <v>243.69220000000001</v>
      </c>
      <c r="G61" s="8">
        <v>101.55419999999999</v>
      </c>
      <c r="H61" s="8">
        <v>923.73102100000006</v>
      </c>
      <c r="I61" s="1"/>
      <c r="J61" s="1"/>
      <c r="K61" s="1"/>
      <c r="L61" s="1"/>
      <c r="M61" s="1"/>
      <c r="N61" s="1"/>
      <c r="O61" s="1"/>
    </row>
    <row r="62" spans="1:15" ht="19.95" customHeight="1" x14ac:dyDescent="0.3">
      <c r="A62" s="7">
        <v>46181</v>
      </c>
      <c r="B62" s="8">
        <v>518.87580000000003</v>
      </c>
      <c r="C62" s="8">
        <v>1133.9802999999999</v>
      </c>
      <c r="D62" s="8">
        <v>825.06129999999996</v>
      </c>
      <c r="E62" s="8">
        <v>417.28570000000002</v>
      </c>
      <c r="F62" s="8">
        <v>244.08860000000001</v>
      </c>
      <c r="G62" s="8">
        <v>101.6482</v>
      </c>
      <c r="H62" s="8">
        <v>927.19266500000003</v>
      </c>
      <c r="I62" s="1"/>
      <c r="J62" s="1"/>
      <c r="K62" s="1"/>
      <c r="L62" s="1"/>
      <c r="M62" s="1"/>
      <c r="N62" s="1"/>
      <c r="O62" s="1"/>
    </row>
    <row r="63" spans="1:15" ht="19.95" customHeight="1" x14ac:dyDescent="0.3">
      <c r="A63" s="7">
        <v>46182</v>
      </c>
      <c r="B63" s="8">
        <v>519.43129999999996</v>
      </c>
      <c r="C63" s="8">
        <v>1123.7628999999999</v>
      </c>
      <c r="D63" s="8">
        <v>822.70719999999994</v>
      </c>
      <c r="E63" s="8">
        <v>417.5797</v>
      </c>
      <c r="F63" s="8">
        <v>244.8732</v>
      </c>
      <c r="G63" s="8">
        <v>101.7479</v>
      </c>
      <c r="H63" s="8">
        <v>925.19671700000004</v>
      </c>
      <c r="I63" s="1"/>
      <c r="J63" s="1"/>
      <c r="K63" s="1"/>
      <c r="L63" s="1"/>
      <c r="M63" s="1"/>
      <c r="N63" s="1"/>
      <c r="O63" s="1"/>
    </row>
    <row r="64" spans="1:15" ht="19.95" customHeight="1" x14ac:dyDescent="0.3">
      <c r="A64" s="7">
        <v>46183</v>
      </c>
      <c r="B64" s="8">
        <v>515.17070000000001</v>
      </c>
      <c r="C64" s="8">
        <v>1120.8454999999999</v>
      </c>
      <c r="D64" s="8">
        <v>814.64300000000003</v>
      </c>
      <c r="E64" s="8">
        <v>413.4846</v>
      </c>
      <c r="F64" s="8">
        <v>244.4134</v>
      </c>
      <c r="G64" s="8">
        <v>101.9452</v>
      </c>
      <c r="H64" s="8">
        <v>925.96194700000001</v>
      </c>
      <c r="I64" s="1"/>
      <c r="J64" s="1"/>
      <c r="K64" s="1"/>
      <c r="L64" s="1"/>
      <c r="M64" s="1"/>
      <c r="N64" s="1"/>
      <c r="O64" s="1"/>
    </row>
    <row r="65" spans="1:15" ht="19.95" customHeight="1" x14ac:dyDescent="0.3">
      <c r="A65" s="7">
        <v>46184</v>
      </c>
      <c r="B65" s="8">
        <v>511.01260000000002</v>
      </c>
      <c r="C65" s="8">
        <v>1095.8042</v>
      </c>
      <c r="D65" s="8">
        <v>811.94650000000001</v>
      </c>
      <c r="E65" s="8">
        <v>410.45979999999997</v>
      </c>
      <c r="F65" s="8">
        <v>243.32499999999999</v>
      </c>
      <c r="G65" s="8">
        <v>102.03060000000001</v>
      </c>
      <c r="H65" s="8">
        <v>922.62055499999997</v>
      </c>
      <c r="I65" s="1"/>
      <c r="J65" s="1"/>
      <c r="K65" s="1"/>
      <c r="L65" s="1"/>
      <c r="M65" s="1"/>
      <c r="N65" s="1"/>
      <c r="O65" s="1"/>
    </row>
    <row r="66" spans="1:15" ht="19.95" customHeight="1" x14ac:dyDescent="0.3">
      <c r="A66" s="7">
        <v>46185</v>
      </c>
      <c r="B66" s="8">
        <v>514.15610000000004</v>
      </c>
      <c r="C66" s="8">
        <v>1089.1925000000001</v>
      </c>
      <c r="D66" s="8">
        <v>814.13040000000001</v>
      </c>
      <c r="E66" s="8">
        <v>408.67200000000003</v>
      </c>
      <c r="F66" s="8">
        <v>242.95820000000001</v>
      </c>
      <c r="G66" s="8">
        <v>102.06529999999999</v>
      </c>
      <c r="H66" s="8">
        <v>922.97650999999996</v>
      </c>
      <c r="I66" s="1"/>
      <c r="J66" s="1"/>
      <c r="K66" s="1"/>
      <c r="L66" s="1"/>
      <c r="M66" s="1"/>
      <c r="N66" s="1"/>
      <c r="O66" s="1"/>
    </row>
    <row r="67" spans="1:15" ht="19.95" customHeight="1" x14ac:dyDescent="0.3">
      <c r="A67" s="7">
        <v>46188</v>
      </c>
      <c r="B67" s="8">
        <v>513.06899999999996</v>
      </c>
      <c r="C67" s="8">
        <v>1107.9206999999999</v>
      </c>
      <c r="D67" s="8">
        <v>814.11649999999997</v>
      </c>
      <c r="E67" s="8">
        <v>417.55799999999999</v>
      </c>
      <c r="F67" s="8">
        <v>244.34719999999999</v>
      </c>
      <c r="G67" s="8">
        <v>101.99890000000001</v>
      </c>
      <c r="H67" s="8">
        <v>928.89092500000004</v>
      </c>
      <c r="I67" s="1"/>
      <c r="J67" s="1"/>
      <c r="K67" s="1"/>
      <c r="L67" s="1"/>
      <c r="M67" s="1"/>
      <c r="N67" s="1"/>
      <c r="O67" s="1"/>
    </row>
    <row r="68" spans="1:15" ht="19.95" customHeight="1" x14ac:dyDescent="0.3">
      <c r="A68" s="7">
        <v>46189</v>
      </c>
      <c r="B68" s="8">
        <v>513.77070000000003</v>
      </c>
      <c r="C68" s="8">
        <v>1100.9021</v>
      </c>
      <c r="D68" s="8">
        <v>820.61580000000004</v>
      </c>
      <c r="E68" s="8">
        <v>424.60410000000002</v>
      </c>
      <c r="F68" s="8">
        <v>245.39760000000001</v>
      </c>
      <c r="G68" s="8">
        <v>102.07859999999999</v>
      </c>
      <c r="H68" s="8">
        <v>933.50202000000002</v>
      </c>
      <c r="I68" s="1"/>
      <c r="J68" s="1"/>
      <c r="K68" s="1"/>
      <c r="L68" s="1"/>
      <c r="M68" s="1"/>
      <c r="N68" s="1"/>
      <c r="O68" s="1"/>
    </row>
    <row r="69" spans="1:15" ht="19.95" customHeight="1" x14ac:dyDescent="0.3">
      <c r="A69" s="7">
        <v>46190</v>
      </c>
      <c r="B69" s="8">
        <v>519.43230000000005</v>
      </c>
      <c r="C69" s="8">
        <v>1108.0361</v>
      </c>
      <c r="D69" s="8">
        <v>822.91200000000003</v>
      </c>
      <c r="E69" s="8">
        <v>419.76889999999997</v>
      </c>
      <c r="F69" s="8">
        <v>245.55860000000001</v>
      </c>
      <c r="G69" s="8">
        <v>101.9384</v>
      </c>
      <c r="H69" s="8">
        <v>935.46917499999995</v>
      </c>
      <c r="I69" s="1"/>
      <c r="J69" s="1"/>
      <c r="K69" s="1"/>
      <c r="L69" s="1"/>
      <c r="M69" s="1"/>
      <c r="N69" s="1"/>
      <c r="O69" s="1"/>
    </row>
    <row r="70" spans="1:15" ht="19.95" customHeight="1" x14ac:dyDescent="0.3">
      <c r="A70" s="7">
        <v>46191</v>
      </c>
      <c r="B70" s="8">
        <v>516.85400000000004</v>
      </c>
      <c r="C70" s="8">
        <v>1110.6331</v>
      </c>
      <c r="D70" s="8">
        <v>819.23630000000003</v>
      </c>
      <c r="E70" s="8">
        <v>419.42570000000001</v>
      </c>
      <c r="F70" s="8">
        <v>246.01140000000001</v>
      </c>
      <c r="G70" s="8">
        <v>101.8597</v>
      </c>
      <c r="H70" s="8">
        <v>934.87624600000004</v>
      </c>
      <c r="I70" s="1"/>
      <c r="J70" s="1"/>
      <c r="K70" s="1"/>
      <c r="L70" s="1"/>
      <c r="M70" s="1"/>
      <c r="N70" s="1"/>
      <c r="O70" s="1"/>
    </row>
    <row r="71" spans="1:15" ht="19.95" customHeight="1" x14ac:dyDescent="0.3">
      <c r="A71" s="7">
        <v>46192</v>
      </c>
      <c r="B71" s="8">
        <v>521.60239999999999</v>
      </c>
      <c r="C71" s="8">
        <v>1111.5237</v>
      </c>
      <c r="D71" s="8">
        <v>827.75710000000004</v>
      </c>
      <c r="E71" s="8">
        <v>427.02199999999999</v>
      </c>
      <c r="F71" s="8">
        <v>247.8338</v>
      </c>
      <c r="G71" s="8">
        <v>101.8203</v>
      </c>
      <c r="H71" s="8">
        <v>940.67237999999998</v>
      </c>
      <c r="I71" s="1"/>
      <c r="J71" s="1"/>
      <c r="K71" s="1"/>
      <c r="L71" s="1"/>
      <c r="M71" s="1"/>
      <c r="N71" s="1"/>
      <c r="O71" s="1"/>
    </row>
    <row r="72" spans="1:15" ht="19.95" customHeight="1" x14ac:dyDescent="0.3">
      <c r="A72" s="7">
        <v>46195</v>
      </c>
      <c r="B72" s="8">
        <v>532.09900000000005</v>
      </c>
      <c r="C72" s="8">
        <v>560.55349999999999</v>
      </c>
      <c r="D72" s="8">
        <v>838.47529999999995</v>
      </c>
      <c r="E72" s="8">
        <v>436.9572</v>
      </c>
      <c r="F72" s="8">
        <v>250.76769999999999</v>
      </c>
      <c r="G72" s="8">
        <v>101.7597</v>
      </c>
      <c r="H72" s="8">
        <v>953.55548099999999</v>
      </c>
      <c r="I72" s="1"/>
      <c r="J72" s="1"/>
      <c r="K72" s="1"/>
      <c r="L72" s="1"/>
      <c r="M72" s="1"/>
      <c r="N72" s="1"/>
      <c r="O72" s="1"/>
    </row>
    <row r="73" spans="1:15" ht="19.95" customHeight="1" x14ac:dyDescent="0.3">
      <c r="A73" s="7">
        <v>46196</v>
      </c>
      <c r="B73" s="8">
        <v>536.77200000000005</v>
      </c>
      <c r="C73" s="8">
        <v>557.36339999999996</v>
      </c>
      <c r="D73" s="8">
        <v>841.84630000000004</v>
      </c>
      <c r="E73" s="8">
        <v>443.80459999999999</v>
      </c>
      <c r="F73" s="8">
        <v>252.30719999999999</v>
      </c>
      <c r="G73" s="8">
        <v>101.6511</v>
      </c>
      <c r="H73" s="8">
        <v>959.03173100000004</v>
      </c>
      <c r="I73" s="1"/>
      <c r="J73" s="1"/>
      <c r="K73" s="1"/>
      <c r="L73" s="1"/>
      <c r="M73" s="1"/>
      <c r="N73" s="1"/>
      <c r="O73" s="1"/>
    </row>
    <row r="74" spans="1:15" ht="19.95" customHeight="1" x14ac:dyDescent="0.3">
      <c r="A74" s="7">
        <v>46197</v>
      </c>
      <c r="B74" s="8">
        <v>540.55619999999999</v>
      </c>
      <c r="C74" s="8">
        <v>548.71950000000004</v>
      </c>
      <c r="D74" s="8">
        <v>841.49429999999995</v>
      </c>
      <c r="E74" s="8">
        <v>440.61</v>
      </c>
      <c r="F74" s="8">
        <v>252.7116</v>
      </c>
      <c r="G74" s="8">
        <v>101.6859</v>
      </c>
      <c r="H74" s="8">
        <v>956.29538500000001</v>
      </c>
      <c r="I74" s="1"/>
      <c r="J74" s="1"/>
      <c r="K74" s="1"/>
      <c r="L74" s="1"/>
      <c r="M74" s="1"/>
      <c r="N74" s="1"/>
      <c r="O74" s="1"/>
    </row>
    <row r="75" spans="1:15" ht="19.95" customHeight="1" x14ac:dyDescent="0.3">
      <c r="A75" s="7">
        <v>46198</v>
      </c>
      <c r="B75" s="8">
        <v>540.26480000000004</v>
      </c>
      <c r="C75" s="8">
        <v>547.87130000000002</v>
      </c>
      <c r="D75" s="8">
        <v>848.38459999999998</v>
      </c>
      <c r="E75" s="8">
        <v>441.31369999999998</v>
      </c>
      <c r="F75" s="8">
        <v>253.86609999999999</v>
      </c>
      <c r="G75" s="8">
        <v>101.6905</v>
      </c>
      <c r="H75" s="8">
        <v>964.14383199999997</v>
      </c>
      <c r="I75" s="1"/>
      <c r="J75" s="1"/>
      <c r="K75" s="1"/>
      <c r="L75" s="1"/>
      <c r="M75" s="1"/>
      <c r="N75" s="1"/>
      <c r="O75" s="1"/>
    </row>
    <row r="76" spans="1:15" ht="19.95" customHeight="1" x14ac:dyDescent="0.3">
      <c r="A76" s="7">
        <v>46199</v>
      </c>
      <c r="B76" s="8">
        <v>548.02260000000001</v>
      </c>
      <c r="C76" s="8">
        <v>557.86199999999997</v>
      </c>
      <c r="D76" s="8">
        <v>852.80330000000004</v>
      </c>
      <c r="E76" s="8">
        <v>444.21539999999999</v>
      </c>
      <c r="F76" s="8">
        <v>254.67070000000001</v>
      </c>
      <c r="G76" s="8">
        <v>101.6652</v>
      </c>
      <c r="H76" s="8">
        <v>970.57310399999994</v>
      </c>
      <c r="I76" s="1"/>
      <c r="J76" s="1"/>
      <c r="K76" s="1"/>
      <c r="L76" s="1"/>
      <c r="M76" s="1"/>
      <c r="N76" s="1"/>
      <c r="O76" s="1"/>
    </row>
    <row r="77" spans="1:15" ht="19.95" customHeight="1" x14ac:dyDescent="0.3">
      <c r="A77" s="7">
        <v>46202</v>
      </c>
      <c r="B77" s="8">
        <v>552.14070000000004</v>
      </c>
      <c r="C77" s="8">
        <v>554.19979999999998</v>
      </c>
      <c r="D77" s="8">
        <v>858.68190000000004</v>
      </c>
      <c r="E77" s="8">
        <v>446.58319999999998</v>
      </c>
      <c r="F77" s="8">
        <v>255.8587</v>
      </c>
      <c r="G77" s="8">
        <v>101.7094</v>
      </c>
      <c r="H77" s="8">
        <v>972.72532100000001</v>
      </c>
      <c r="I77" s="1"/>
      <c r="J77" s="1"/>
      <c r="K77" s="1"/>
      <c r="L77" s="1"/>
      <c r="M77" s="1"/>
      <c r="N77" s="1"/>
      <c r="O77" s="1"/>
    </row>
    <row r="78" spans="1:15" ht="19.95" customHeight="1" x14ac:dyDescent="0.3">
      <c r="A78" s="7">
        <v>46203</v>
      </c>
      <c r="B78" s="8">
        <v>553.20069999999998</v>
      </c>
      <c r="C78" s="8">
        <v>560.80029999999999</v>
      </c>
      <c r="D78" s="8">
        <v>856.86289999999997</v>
      </c>
      <c r="E78" s="8">
        <v>448.26979999999998</v>
      </c>
      <c r="F78" s="8">
        <v>256.9846</v>
      </c>
      <c r="G78" s="8">
        <v>101.7877</v>
      </c>
      <c r="H78" s="8">
        <v>971.64858900000002</v>
      </c>
      <c r="I78" s="1"/>
      <c r="J78" s="1"/>
      <c r="K78" s="1"/>
      <c r="L78" s="1"/>
      <c r="M78" s="1"/>
      <c r="N78" s="1"/>
      <c r="O78" s="1"/>
    </row>
    <row r="79" spans="1:15" ht="19.95" customHeight="1" x14ac:dyDescent="0.3">
      <c r="A79" s="7">
        <v>46204</v>
      </c>
      <c r="B79" s="8">
        <v>557.44799999999998</v>
      </c>
      <c r="C79" s="8">
        <v>572.67370000000005</v>
      </c>
      <c r="D79" s="8">
        <v>865.46979999999996</v>
      </c>
      <c r="E79" s="8">
        <v>456.28829999999999</v>
      </c>
      <c r="F79" s="8">
        <v>259.57600000000002</v>
      </c>
      <c r="G79" s="8">
        <v>101.9024</v>
      </c>
      <c r="H79" s="8">
        <v>980.27093200000002</v>
      </c>
      <c r="I79" s="1"/>
      <c r="J79" s="1"/>
      <c r="K79" s="1"/>
      <c r="L79" s="1"/>
      <c r="M79" s="1"/>
      <c r="N79" s="1"/>
      <c r="O79" s="1"/>
    </row>
    <row r="80" spans="1:15" ht="19.95" customHeight="1" x14ac:dyDescent="0.3">
      <c r="A80" s="7">
        <v>46205</v>
      </c>
      <c r="B80" s="8">
        <v>544.41</v>
      </c>
      <c r="C80" s="8">
        <v>560.6096</v>
      </c>
      <c r="D80" s="8">
        <v>866.04250000000002</v>
      </c>
      <c r="E80" s="8">
        <v>453.03440000000001</v>
      </c>
      <c r="F80" s="8">
        <v>256.34469999999999</v>
      </c>
      <c r="G80" s="8">
        <v>101.8631</v>
      </c>
      <c r="H80" s="8">
        <v>970.22306800000001</v>
      </c>
      <c r="I80" s="1"/>
      <c r="J80" s="1"/>
      <c r="K80" s="1"/>
      <c r="L80" s="1"/>
      <c r="M80" s="1"/>
      <c r="N80" s="1"/>
      <c r="O80" s="1"/>
    </row>
    <row r="81" spans="1:15" ht="19.95" customHeight="1" x14ac:dyDescent="0.3">
      <c r="A81" s="7">
        <v>46206</v>
      </c>
      <c r="B81" s="8">
        <v>548.6721</v>
      </c>
      <c r="C81" s="8">
        <v>557.67759999999998</v>
      </c>
      <c r="D81" s="8">
        <v>864.23389999999995</v>
      </c>
      <c r="E81" s="8">
        <v>450.98399999999998</v>
      </c>
      <c r="F81" s="8">
        <v>257.34109999999998</v>
      </c>
      <c r="G81" s="8">
        <v>102.00239999999999</v>
      </c>
      <c r="H81" s="8">
        <v>971.47943299999997</v>
      </c>
      <c r="I81" s="1"/>
      <c r="J81" s="1"/>
      <c r="K81" s="1"/>
      <c r="L81" s="1"/>
      <c r="M81" s="1"/>
      <c r="N81" s="1"/>
      <c r="O81" s="1"/>
    </row>
    <row r="82" spans="1:15" ht="19.95" customHeight="1" x14ac:dyDescent="0.3">
      <c r="A82" s="7">
        <v>46209</v>
      </c>
      <c r="B82" s="8">
        <v>546.41060000000004</v>
      </c>
      <c r="C82" s="8">
        <v>548.20820000000003</v>
      </c>
      <c r="D82" s="8">
        <v>863.40369999999996</v>
      </c>
      <c r="E82" s="8">
        <v>447.58920000000001</v>
      </c>
      <c r="F82" s="8">
        <v>256.97500000000002</v>
      </c>
      <c r="G82" s="8">
        <v>102.1641</v>
      </c>
      <c r="H82" s="8">
        <v>971.76532799999995</v>
      </c>
      <c r="I82" s="1"/>
      <c r="J82" s="1"/>
      <c r="K82" s="1"/>
      <c r="L82" s="1"/>
      <c r="M82" s="1"/>
      <c r="N82" s="1"/>
      <c r="O82" s="1"/>
    </row>
    <row r="83" spans="1:15" ht="19.95" customHeight="1" x14ac:dyDescent="0.3">
      <c r="A83" s="7">
        <v>46210</v>
      </c>
      <c r="B83" s="8">
        <v>549.56830000000002</v>
      </c>
      <c r="C83" s="8">
        <v>551.81200000000001</v>
      </c>
      <c r="D83" s="8">
        <v>875.21609999999998</v>
      </c>
      <c r="E83" s="8">
        <v>446.92829999999998</v>
      </c>
      <c r="F83" s="8">
        <v>257.23950000000002</v>
      </c>
      <c r="G83" s="8">
        <v>102.1965</v>
      </c>
      <c r="H83" s="8">
        <v>972.69467199999997</v>
      </c>
      <c r="I83" s="1"/>
      <c r="J83" s="1"/>
      <c r="K83" s="1"/>
      <c r="L83" s="1"/>
      <c r="M83" s="1"/>
      <c r="N83" s="1"/>
      <c r="O83" s="1"/>
    </row>
    <row r="84" spans="1:15" ht="19.95" customHeight="1" x14ac:dyDescent="0.3">
      <c r="A84" s="7">
        <v>46211</v>
      </c>
      <c r="B84" s="8">
        <v>557.16729999999995</v>
      </c>
      <c r="C84" s="8">
        <v>554.05589999999995</v>
      </c>
      <c r="D84" s="8">
        <v>876.83389999999997</v>
      </c>
      <c r="E84" s="8">
        <v>446.8458</v>
      </c>
      <c r="F84" s="8">
        <v>256.51710000000003</v>
      </c>
      <c r="G84" s="8">
        <v>102.1639</v>
      </c>
      <c r="H84" s="8">
        <v>974.71069599999998</v>
      </c>
      <c r="I84" s="1"/>
      <c r="J84" s="1"/>
      <c r="K84" s="1"/>
      <c r="L84" s="1"/>
      <c r="M84" s="1"/>
      <c r="N84" s="1"/>
      <c r="O84" s="1"/>
    </row>
    <row r="85" spans="1:15" ht="19.95" customHeight="1" x14ac:dyDescent="0.3">
      <c r="A85" s="7">
        <v>46212</v>
      </c>
      <c r="B85" s="8">
        <v>560.99289999999996</v>
      </c>
      <c r="C85" s="8">
        <v>562.33569999999997</v>
      </c>
      <c r="D85" s="8">
        <v>892.43759999999997</v>
      </c>
      <c r="E85" s="8">
        <v>456.40280000000001</v>
      </c>
      <c r="F85" s="8">
        <v>259.41950000000003</v>
      </c>
      <c r="G85" s="8">
        <v>102.3454</v>
      </c>
      <c r="H85" s="8">
        <v>983.80896700000005</v>
      </c>
      <c r="I85" s="1"/>
      <c r="J85" s="1"/>
      <c r="K85" s="1"/>
      <c r="L85" s="1"/>
      <c r="M85" s="1"/>
      <c r="N85" s="1"/>
      <c r="O85" s="1"/>
    </row>
    <row r="86" spans="1:15" ht="19.95" customHeight="1" x14ac:dyDescent="0.3">
      <c r="A86" s="7">
        <v>46213</v>
      </c>
      <c r="B86" s="8">
        <v>562.62850000000003</v>
      </c>
      <c r="C86" s="8">
        <v>560.59220000000005</v>
      </c>
      <c r="D86" s="8">
        <v>892.71820000000002</v>
      </c>
      <c r="E86" s="8">
        <v>451.4735</v>
      </c>
      <c r="F86" s="8">
        <v>257.49439999999998</v>
      </c>
      <c r="G86" s="8">
        <v>102.3959</v>
      </c>
      <c r="H86" s="8">
        <v>978.03045399999996</v>
      </c>
      <c r="I86" s="1"/>
      <c r="J86" s="1"/>
      <c r="K86" s="1"/>
      <c r="L86" s="1"/>
      <c r="M86" s="1"/>
      <c r="N86" s="1"/>
      <c r="O86" s="1"/>
    </row>
    <row r="87" spans="1:15" ht="19.95" customHeight="1" x14ac:dyDescent="0.3">
      <c r="A87" s="7">
        <v>46216</v>
      </c>
      <c r="B87" s="8">
        <v>561.23379999999997</v>
      </c>
      <c r="C87" s="8">
        <v>565.67399999999998</v>
      </c>
      <c r="D87" s="8">
        <v>895.73479999999995</v>
      </c>
      <c r="E87" s="8">
        <v>454.55869999999999</v>
      </c>
      <c r="F87" s="8">
        <v>258.11020000000002</v>
      </c>
      <c r="G87" s="8">
        <v>102.51860000000001</v>
      </c>
      <c r="H87" s="8">
        <v>974.71713599999998</v>
      </c>
      <c r="I87" s="1"/>
      <c r="J87" s="1"/>
      <c r="K87" s="1"/>
      <c r="L87" s="1"/>
      <c r="M87" s="1"/>
      <c r="N87" s="1"/>
      <c r="O87" s="1"/>
    </row>
    <row r="88" spans="1:15" ht="19.95" customHeight="1" x14ac:dyDescent="0.3">
      <c r="A88" s="7">
        <v>46217</v>
      </c>
      <c r="B88" s="8">
        <v>565.78589999999997</v>
      </c>
      <c r="C88" s="8">
        <v>559.88810000000001</v>
      </c>
      <c r="D88" s="8">
        <v>900.09690000000001</v>
      </c>
      <c r="E88" s="8">
        <v>461.73059999999998</v>
      </c>
      <c r="F88" s="8">
        <v>259.02140000000003</v>
      </c>
      <c r="G88" s="8">
        <v>102.61620000000001</v>
      </c>
      <c r="H88" s="8">
        <v>976.38789099999997</v>
      </c>
      <c r="I88" s="1"/>
      <c r="J88" s="1"/>
      <c r="K88" s="1"/>
      <c r="L88" s="1"/>
      <c r="M88" s="1"/>
      <c r="N88" s="1"/>
      <c r="O88" s="1"/>
    </row>
    <row r="89" spans="1:15" ht="19.95" customHeight="1" x14ac:dyDescent="0.3">
      <c r="A89" s="7">
        <v>46218</v>
      </c>
      <c r="B89" s="8">
        <v>569.85739999999998</v>
      </c>
      <c r="C89" s="8">
        <v>568.0317</v>
      </c>
      <c r="D89" s="8">
        <v>893.42880000000002</v>
      </c>
      <c r="E89" s="8">
        <v>474.71260000000001</v>
      </c>
      <c r="F89" s="8">
        <v>262.60660000000001</v>
      </c>
      <c r="G89" s="8">
        <v>102.6729</v>
      </c>
      <c r="H89" s="8">
        <v>984.48917600000004</v>
      </c>
      <c r="I89" s="1"/>
      <c r="J89" s="1"/>
      <c r="K89" s="1"/>
      <c r="L89" s="1"/>
      <c r="M89" s="1"/>
      <c r="N89" s="1"/>
      <c r="O89" s="1"/>
    </row>
    <row r="90" spans="1:15" ht="19.95" customHeight="1" x14ac:dyDescent="0.3">
      <c r="A90" s="7">
        <v>46219</v>
      </c>
      <c r="B90" s="8">
        <v>568.24940000000004</v>
      </c>
      <c r="C90" s="8">
        <v>565.85090000000002</v>
      </c>
      <c r="D90" s="8">
        <v>893.32830000000001</v>
      </c>
      <c r="E90" s="8">
        <v>476.53280000000001</v>
      </c>
      <c r="F90" s="8">
        <v>262.75869999999998</v>
      </c>
      <c r="G90" s="8">
        <v>102.666</v>
      </c>
      <c r="H90" s="8">
        <v>983.89174800000001</v>
      </c>
      <c r="I90" s="1"/>
      <c r="J90" s="1"/>
      <c r="K90" s="1"/>
      <c r="L90" s="1"/>
      <c r="M90" s="1"/>
      <c r="N90" s="1"/>
      <c r="O90" s="1"/>
    </row>
    <row r="91" spans="1:15" ht="19.95" customHeight="1" x14ac:dyDescent="0.3">
      <c r="A91" s="7">
        <v>46220</v>
      </c>
      <c r="B91" s="8">
        <v>567.14279999999997</v>
      </c>
      <c r="C91" s="8">
        <v>562.83789999999999</v>
      </c>
      <c r="D91" s="8">
        <v>888.84130000000005</v>
      </c>
      <c r="E91" s="8">
        <v>474.08339999999998</v>
      </c>
      <c r="F91" s="8">
        <v>262.61579999999998</v>
      </c>
      <c r="G91" s="8">
        <v>102.845</v>
      </c>
      <c r="H91" s="8">
        <v>975.66513399999997</v>
      </c>
      <c r="I91" s="1"/>
      <c r="J91" s="1"/>
      <c r="K91" s="1"/>
      <c r="L91" s="1"/>
      <c r="M91" s="1"/>
      <c r="N91" s="1"/>
      <c r="O91" s="1"/>
    </row>
    <row r="92" spans="1:15" ht="19.95" customHeight="1" x14ac:dyDescent="0.3">
      <c r="A92" s="7">
        <v>46223</v>
      </c>
      <c r="B92" s="8">
        <v>571.41039999999998</v>
      </c>
      <c r="C92" s="8">
        <v>556.14599999999996</v>
      </c>
      <c r="D92" s="8">
        <v>882.03970000000004</v>
      </c>
      <c r="E92" s="8">
        <v>468.815</v>
      </c>
      <c r="F92" s="8">
        <v>263.44319999999999</v>
      </c>
      <c r="G92" s="8">
        <v>102.9588</v>
      </c>
      <c r="H92" s="8">
        <v>975.699794</v>
      </c>
      <c r="I92" s="1"/>
      <c r="J92" s="1"/>
      <c r="K92" s="1"/>
      <c r="L92" s="1"/>
      <c r="M92" s="1"/>
      <c r="N92" s="1"/>
      <c r="O92" s="1"/>
    </row>
    <row r="93" spans="1:15" ht="19.95" customHeight="1" x14ac:dyDescent="0.3">
      <c r="A93" s="7">
        <v>46224</v>
      </c>
      <c r="B93" s="8">
        <v>564.03250000000003</v>
      </c>
      <c r="C93" s="8">
        <v>548.12959999999998</v>
      </c>
      <c r="D93" s="8">
        <v>876.13350000000003</v>
      </c>
      <c r="E93" s="8">
        <v>466.80340000000001</v>
      </c>
      <c r="F93" s="8">
        <v>260.98660000000001</v>
      </c>
      <c r="G93" s="8">
        <v>103.0561</v>
      </c>
      <c r="H93" s="8">
        <v>967.79139199999997</v>
      </c>
      <c r="I93" s="1"/>
      <c r="J93" s="1"/>
      <c r="K93" s="1"/>
      <c r="L93" s="1"/>
      <c r="M93" s="1"/>
      <c r="N93" s="1"/>
      <c r="O93" s="1"/>
    </row>
    <row r="94" spans="1:15" ht="19.95" customHeight="1" x14ac:dyDescent="0.3">
      <c r="A94" s="7">
        <v>46225</v>
      </c>
      <c r="B94" s="8">
        <v>564.77859999999998</v>
      </c>
      <c r="C94" s="8">
        <v>543.77850000000001</v>
      </c>
      <c r="D94" s="8">
        <v>875.33929999999998</v>
      </c>
      <c r="E94" s="8">
        <v>470.2432</v>
      </c>
      <c r="F94" s="8">
        <v>259.56790000000001</v>
      </c>
      <c r="G94" s="8">
        <v>103.1189</v>
      </c>
      <c r="H94" s="8">
        <v>964.53767100000005</v>
      </c>
      <c r="I94" s="1"/>
      <c r="J94" s="1"/>
      <c r="K94" s="1"/>
      <c r="L94" s="1"/>
      <c r="M94" s="1"/>
      <c r="N94" s="1"/>
      <c r="O94" s="1"/>
    </row>
    <row r="95" spans="1:15" ht="19.95" customHeight="1" x14ac:dyDescent="0.3">
      <c r="A95" s="7">
        <v>46226</v>
      </c>
      <c r="B95" s="8">
        <v>560.5222</v>
      </c>
      <c r="C95" s="8">
        <v>552.42859999999996</v>
      </c>
      <c r="D95" s="8">
        <v>873.01030000000003</v>
      </c>
      <c r="E95" s="8">
        <v>473.87180000000001</v>
      </c>
      <c r="F95" s="8">
        <v>259.95920000000001</v>
      </c>
      <c r="G95" s="8">
        <v>103.06740000000001</v>
      </c>
      <c r="H95" s="8">
        <v>965.86966199999995</v>
      </c>
      <c r="I95" s="1"/>
      <c r="J95" s="1"/>
      <c r="K95" s="1"/>
      <c r="L95" s="1"/>
      <c r="M95" s="1"/>
      <c r="N95" s="1"/>
      <c r="O95" s="1"/>
    </row>
    <row r="96" spans="1:15" ht="19.95" customHeight="1" x14ac:dyDescent="0.3">
      <c r="A96" s="7">
        <v>46227</v>
      </c>
      <c r="B96" s="8">
        <v>556.10670000000005</v>
      </c>
      <c r="C96" s="8">
        <v>546.85260000000005</v>
      </c>
      <c r="D96" s="8">
        <v>874.55029999999999</v>
      </c>
      <c r="E96" s="8">
        <v>478.66809999999998</v>
      </c>
      <c r="F96" s="8">
        <v>259.2833</v>
      </c>
      <c r="G96" s="8">
        <v>103.05500000000001</v>
      </c>
      <c r="H96" s="8">
        <v>962.76389600000005</v>
      </c>
      <c r="I96" s="1"/>
      <c r="J96" s="1"/>
      <c r="K96" s="1"/>
      <c r="L96" s="1"/>
      <c r="M96" s="1"/>
      <c r="N96" s="1"/>
      <c r="O96" s="1"/>
    </row>
    <row r="97" spans="1:15" ht="19.95" customHeight="1" x14ac:dyDescent="0.3">
      <c r="A97" s="7">
        <v>46230</v>
      </c>
      <c r="B97" s="8">
        <v>561.59490000000005</v>
      </c>
      <c r="C97" s="8">
        <v>551.39729999999997</v>
      </c>
      <c r="D97" s="8">
        <v>877.50390000000004</v>
      </c>
      <c r="E97" s="8">
        <v>480.09089999999998</v>
      </c>
      <c r="F97" s="8">
        <v>260.72699999999998</v>
      </c>
      <c r="G97" s="8">
        <v>102.907</v>
      </c>
      <c r="H97" s="8">
        <v>967.74128900000005</v>
      </c>
      <c r="I97" s="1"/>
      <c r="J97" s="1"/>
      <c r="K97" s="1"/>
      <c r="L97" s="1"/>
      <c r="M97" s="1"/>
      <c r="N97" s="1"/>
      <c r="O97" s="1"/>
    </row>
    <row r="98" spans="1:15" ht="19.95" customHeight="1" x14ac:dyDescent="0.3">
      <c r="A98" s="7">
        <v>46231</v>
      </c>
      <c r="B98" s="8">
        <v>556.00930000000005</v>
      </c>
      <c r="C98" s="8">
        <v>555.4076</v>
      </c>
      <c r="D98" s="8">
        <v>874.29169999999999</v>
      </c>
      <c r="E98" s="8">
        <v>473.95490000000001</v>
      </c>
      <c r="F98" s="8">
        <v>259.47829999999999</v>
      </c>
      <c r="G98" s="8">
        <v>102.84480000000001</v>
      </c>
      <c r="H98" s="8">
        <v>958.83526900000004</v>
      </c>
      <c r="I98" s="1"/>
      <c r="J98" s="1"/>
      <c r="K98" s="1"/>
      <c r="L98" s="1"/>
      <c r="M98" s="1"/>
      <c r="N98" s="1"/>
      <c r="O98" s="1"/>
    </row>
    <row r="99" spans="1:15" ht="19.95" customHeight="1" x14ac:dyDescent="0.3">
      <c r="A99" s="7">
        <v>46232</v>
      </c>
      <c r="B99" s="8">
        <v>560.43449999999996</v>
      </c>
      <c r="C99" s="8">
        <v>552.28189999999995</v>
      </c>
      <c r="D99" s="8">
        <v>868.38649999999996</v>
      </c>
      <c r="E99" s="8">
        <v>478.54809999999998</v>
      </c>
      <c r="F99" s="8">
        <v>259.67790000000002</v>
      </c>
      <c r="G99" s="8">
        <v>102.9234</v>
      </c>
      <c r="H99" s="8">
        <v>961.35832200000004</v>
      </c>
      <c r="I99" s="1"/>
      <c r="J99" s="1"/>
      <c r="K99" s="1"/>
      <c r="L99" s="1"/>
      <c r="M99" s="1"/>
      <c r="N99" s="1"/>
      <c r="O99" s="1"/>
    </row>
    <row r="100" spans="1:15" ht="19.95" customHeight="1" x14ac:dyDescent="0.3">
      <c r="A100" s="7">
        <v>46233</v>
      </c>
      <c r="B100" s="8">
        <v>563.16240000000005</v>
      </c>
      <c r="C100" s="8">
        <v>545.62099999999998</v>
      </c>
      <c r="D100" s="8">
        <v>875.82550000000003</v>
      </c>
      <c r="E100" s="8">
        <v>480.88470000000001</v>
      </c>
      <c r="F100" s="8">
        <v>260.0265</v>
      </c>
      <c r="G100" s="8">
        <v>102.8099</v>
      </c>
      <c r="H100" s="8">
        <v>965.14286300000003</v>
      </c>
      <c r="I100" s="1"/>
      <c r="J100" s="1"/>
      <c r="K100" s="1"/>
      <c r="L100" s="1"/>
      <c r="M100" s="1"/>
      <c r="N100" s="1"/>
      <c r="O100" s="1"/>
    </row>
    <row r="101" spans="1:15" ht="19.95" customHeight="1" x14ac:dyDescent="0.3">
      <c r="A101" s="7">
        <v>46234</v>
      </c>
      <c r="B101" s="8">
        <v>568.84029999999996</v>
      </c>
      <c r="C101" s="8">
        <v>553.25189999999998</v>
      </c>
      <c r="D101" s="8">
        <v>888.06050000000005</v>
      </c>
      <c r="E101" s="8">
        <v>486.82040000000001</v>
      </c>
      <c r="F101" s="8">
        <v>262.9563</v>
      </c>
      <c r="G101" s="8">
        <v>102.87439999999999</v>
      </c>
      <c r="H101" s="8">
        <v>974.85243300000002</v>
      </c>
      <c r="I101" s="1"/>
      <c r="J101" s="1"/>
      <c r="K101" s="1"/>
      <c r="L101" s="1"/>
      <c r="M101" s="1"/>
      <c r="N101" s="1"/>
      <c r="O101" s="1"/>
    </row>
    <row r="102" spans="1:15" ht="19.95" customHeight="1" x14ac:dyDescent="0.3">
      <c r="A102" s="7">
        <v>46237</v>
      </c>
      <c r="B102" s="8">
        <v>576.98940000000005</v>
      </c>
      <c r="C102" s="8">
        <v>551.63829999999996</v>
      </c>
      <c r="D102" s="8">
        <v>881.43020000000001</v>
      </c>
      <c r="E102" s="8">
        <v>484.98750000000001</v>
      </c>
      <c r="F102" s="8">
        <v>262.42520000000002</v>
      </c>
      <c r="G102" s="8">
        <v>102.73390000000001</v>
      </c>
      <c r="H102" s="8">
        <v>973.93716099999995</v>
      </c>
      <c r="I102" s="1"/>
      <c r="J102" s="1"/>
      <c r="K102" s="1"/>
      <c r="L102" s="1"/>
      <c r="M102" s="1"/>
      <c r="N102" s="1"/>
      <c r="O102" s="1"/>
    </row>
    <row r="103" spans="1:15" ht="19.95" customHeight="1" x14ac:dyDescent="0.3">
      <c r="A103" s="7">
        <v>46238</v>
      </c>
      <c r="B103" s="8">
        <v>583.66409999999996</v>
      </c>
      <c r="C103" s="8">
        <v>546.12559999999996</v>
      </c>
      <c r="D103" s="8">
        <v>865.42439999999999</v>
      </c>
      <c r="E103" s="8">
        <v>484.24149999999997</v>
      </c>
      <c r="F103" s="8">
        <v>260.5369</v>
      </c>
      <c r="G103" s="8">
        <v>102.7897</v>
      </c>
      <c r="H103" s="8">
        <v>971.32630200000006</v>
      </c>
      <c r="I103" s="1"/>
      <c r="J103" s="1"/>
      <c r="K103" s="1"/>
      <c r="L103" s="1"/>
      <c r="M103" s="1"/>
      <c r="N103" s="1"/>
      <c r="O103" s="1"/>
    </row>
    <row r="104" spans="1:15" ht="19.95" customHeight="1" x14ac:dyDescent="0.3">
      <c r="A104" s="7">
        <v>46239</v>
      </c>
      <c r="B104" s="8">
        <v>591.48059999999998</v>
      </c>
      <c r="C104" s="8">
        <v>562.27539999999999</v>
      </c>
      <c r="D104" s="8">
        <v>878.57719999999995</v>
      </c>
      <c r="E104" s="8">
        <v>490.22730000000001</v>
      </c>
      <c r="F104" s="8">
        <v>263.60120000000001</v>
      </c>
      <c r="G104" s="8">
        <v>102.7811</v>
      </c>
      <c r="H104" s="8">
        <v>982.25549699999999</v>
      </c>
      <c r="I104" s="1"/>
      <c r="J104" s="1"/>
      <c r="K104" s="1"/>
      <c r="L104" s="1"/>
      <c r="M104" s="1"/>
      <c r="N104" s="1"/>
      <c r="O104" s="1"/>
    </row>
    <row r="105" spans="1:15" ht="19.95" customHeight="1" x14ac:dyDescent="0.3">
      <c r="A105" s="7">
        <v>46240</v>
      </c>
      <c r="B105" s="8">
        <v>584.34900000000005</v>
      </c>
      <c r="C105" s="8">
        <v>564.8519</v>
      </c>
      <c r="D105" s="8">
        <v>876.66380000000004</v>
      </c>
      <c r="E105" s="8">
        <v>491.04140000000001</v>
      </c>
      <c r="F105" s="8">
        <v>263.88459999999998</v>
      </c>
      <c r="G105" s="8">
        <v>102.88339999999999</v>
      </c>
      <c r="H105" s="8">
        <v>983.91687100000001</v>
      </c>
      <c r="I105" s="1"/>
      <c r="J105" s="1"/>
      <c r="K105" s="1"/>
      <c r="L105" s="1"/>
      <c r="M105" s="1"/>
      <c r="N105" s="1"/>
      <c r="O105" s="1"/>
    </row>
    <row r="106" spans="1:15" ht="19.95" customHeight="1" x14ac:dyDescent="0.3">
      <c r="A106" s="7">
        <v>46241</v>
      </c>
      <c r="B106" s="8">
        <v>587.57929999999999</v>
      </c>
      <c r="C106" s="8">
        <v>566.04780000000005</v>
      </c>
      <c r="D106" s="8">
        <v>879.70669999999996</v>
      </c>
      <c r="E106" s="8">
        <v>498.10809999999998</v>
      </c>
      <c r="F106" s="8">
        <v>264.93610000000001</v>
      </c>
      <c r="G106" s="8">
        <v>102.8105</v>
      </c>
      <c r="H106" s="8">
        <v>987.59670500000004</v>
      </c>
      <c r="I106" s="1"/>
      <c r="J106" s="1"/>
      <c r="K106" s="1"/>
      <c r="L106" s="1"/>
      <c r="M106" s="1"/>
      <c r="N106" s="1"/>
      <c r="O106" s="1"/>
    </row>
    <row r="107" spans="1:15" ht="19.95" customHeight="1" x14ac:dyDescent="0.3">
      <c r="A107" s="7">
        <v>46244</v>
      </c>
      <c r="B107" s="8">
        <v>580.63750000000005</v>
      </c>
      <c r="C107" s="8">
        <v>570.88879999999995</v>
      </c>
      <c r="D107" s="8">
        <v>881.50959999999998</v>
      </c>
      <c r="E107" s="8">
        <v>494.64269999999999</v>
      </c>
      <c r="F107" s="8">
        <v>266.15690000000001</v>
      </c>
      <c r="G107" s="8">
        <v>102.79389999999999</v>
      </c>
      <c r="H107" s="8">
        <v>988.76340000000005</v>
      </c>
      <c r="I107" s="1"/>
      <c r="J107" s="1"/>
      <c r="K107" s="1"/>
      <c r="L107" s="1"/>
      <c r="M107" s="1"/>
      <c r="N107" s="1"/>
      <c r="O107" s="1"/>
    </row>
    <row r="108" spans="1:15" ht="19.95" customHeight="1" x14ac:dyDescent="0.3">
      <c r="A108" s="7">
        <v>46245</v>
      </c>
      <c r="B108" s="8">
        <v>570.89800000000002</v>
      </c>
      <c r="C108" s="8">
        <v>559.00789999999995</v>
      </c>
      <c r="D108" s="8">
        <v>875.70590000000004</v>
      </c>
      <c r="E108" s="8">
        <v>482.37709999999998</v>
      </c>
      <c r="F108" s="8">
        <v>262.10480000000001</v>
      </c>
      <c r="G108" s="8">
        <v>102.77849999999999</v>
      </c>
      <c r="H108" s="8">
        <v>975.913993</v>
      </c>
      <c r="I108" s="1"/>
      <c r="J108" s="1"/>
      <c r="K108" s="1"/>
      <c r="L108" s="1"/>
      <c r="M108" s="1"/>
      <c r="N108" s="1"/>
      <c r="O108" s="1"/>
    </row>
    <row r="109" spans="1:15" ht="19.95" customHeight="1" x14ac:dyDescent="0.3">
      <c r="A109" s="7">
        <v>46246</v>
      </c>
      <c r="B109" s="8">
        <v>572.25170000000003</v>
      </c>
      <c r="C109" s="8">
        <v>566.23919999999998</v>
      </c>
      <c r="D109" s="8">
        <v>878.91570000000002</v>
      </c>
      <c r="E109" s="8">
        <v>490.62939999999998</v>
      </c>
      <c r="F109" s="8">
        <v>262.27120000000002</v>
      </c>
      <c r="G109" s="8">
        <v>102.8586</v>
      </c>
      <c r="H109" s="8">
        <v>978.41394200000002</v>
      </c>
      <c r="I109" s="1"/>
      <c r="J109" s="1"/>
      <c r="K109" s="1"/>
      <c r="L109" s="1"/>
      <c r="M109" s="1"/>
      <c r="N109" s="1"/>
      <c r="O109" s="1"/>
    </row>
    <row r="110" spans="1:15" ht="19.95" customHeight="1" x14ac:dyDescent="0.3">
      <c r="A110" s="7">
        <v>46247</v>
      </c>
      <c r="B110" s="8">
        <v>578.20389999999998</v>
      </c>
      <c r="C110" s="8">
        <v>570.15300000000002</v>
      </c>
      <c r="D110" s="8">
        <v>874.36379999999997</v>
      </c>
      <c r="E110" s="8">
        <v>493.5566</v>
      </c>
      <c r="F110" s="8">
        <v>262.62169999999998</v>
      </c>
      <c r="G110" s="8">
        <v>102.9465</v>
      </c>
      <c r="H110" s="8">
        <v>983.08119499999998</v>
      </c>
      <c r="I110" s="1"/>
      <c r="J110" s="1"/>
      <c r="K110" s="1"/>
      <c r="L110" s="1"/>
      <c r="M110" s="1"/>
      <c r="N110" s="1"/>
      <c r="O110" s="1"/>
    </row>
    <row r="111" spans="1:15" ht="19.95" customHeight="1" x14ac:dyDescent="0.3">
      <c r="A111" s="7">
        <v>46248</v>
      </c>
      <c r="B111" s="8">
        <v>573.64930000000004</v>
      </c>
      <c r="C111" s="8">
        <v>573.14520000000005</v>
      </c>
      <c r="D111" s="8">
        <v>879.32870000000003</v>
      </c>
      <c r="E111" s="8">
        <v>500.08580000000001</v>
      </c>
      <c r="F111" s="8">
        <v>263.36270000000002</v>
      </c>
      <c r="G111" s="8">
        <v>103.0269</v>
      </c>
      <c r="H111" s="8">
        <v>985.54955800000005</v>
      </c>
      <c r="I111" s="1"/>
      <c r="J111" s="1"/>
      <c r="K111" s="1"/>
      <c r="L111" s="1"/>
      <c r="M111" s="1"/>
      <c r="N111" s="1"/>
      <c r="O111" s="1"/>
    </row>
    <row r="112" spans="1:15" ht="19.95" customHeight="1" x14ac:dyDescent="0.3">
      <c r="A112" s="7">
        <v>46251</v>
      </c>
      <c r="B112" s="8">
        <v>566.02739999999994</v>
      </c>
      <c r="C112" s="8">
        <v>557.04280000000006</v>
      </c>
      <c r="D112" s="8">
        <v>867.92600000000004</v>
      </c>
      <c r="E112" s="8">
        <v>494.2251</v>
      </c>
      <c r="F112" s="8">
        <v>260.8922</v>
      </c>
      <c r="G112" s="8">
        <v>102.9588</v>
      </c>
      <c r="H112" s="8">
        <v>973.25832100000002</v>
      </c>
      <c r="I112" s="1"/>
      <c r="J112" s="1"/>
      <c r="K112" s="1"/>
      <c r="L112" s="1"/>
      <c r="M112" s="1"/>
      <c r="N112" s="1"/>
      <c r="O112" s="1"/>
    </row>
    <row r="113" spans="1:15" ht="19.95" customHeight="1" x14ac:dyDescent="0.3">
      <c r="A113" s="7">
        <v>46252</v>
      </c>
      <c r="B113" s="8">
        <v>565.4402</v>
      </c>
      <c r="C113" s="8">
        <v>560.47969999999998</v>
      </c>
      <c r="D113" s="8">
        <v>859.47280000000001</v>
      </c>
      <c r="E113" s="8">
        <v>486.24220000000003</v>
      </c>
      <c r="F113" s="8">
        <v>261.61579999999998</v>
      </c>
      <c r="G113" s="8">
        <v>103.0826</v>
      </c>
      <c r="H113" s="8">
        <v>974.15992600000004</v>
      </c>
      <c r="I113" s="1"/>
      <c r="J113" s="1"/>
      <c r="K113" s="1"/>
      <c r="L113" s="1"/>
      <c r="M113" s="1"/>
      <c r="N113" s="1"/>
      <c r="O113" s="1"/>
    </row>
    <row r="114" spans="1:15" ht="19.95" customHeight="1" x14ac:dyDescent="0.3">
      <c r="A114" s="7">
        <v>46253</v>
      </c>
      <c r="B114" s="8">
        <v>560.97879999999998</v>
      </c>
      <c r="C114" s="8">
        <v>559.01589999999999</v>
      </c>
      <c r="D114" s="8">
        <v>857.88030000000003</v>
      </c>
      <c r="E114" s="8">
        <v>490.33929999999998</v>
      </c>
      <c r="F114" s="8">
        <v>261.6003</v>
      </c>
      <c r="G114" s="8">
        <v>103.1998</v>
      </c>
      <c r="H114" s="8">
        <v>977.39345700000001</v>
      </c>
      <c r="I114" s="1"/>
      <c r="J114" s="1"/>
      <c r="K114" s="1"/>
      <c r="L114" s="1"/>
      <c r="M114" s="1"/>
      <c r="N114" s="1"/>
      <c r="O114" s="1"/>
    </row>
    <row r="115" spans="1:15" ht="19.95" customHeight="1" x14ac:dyDescent="0.3">
      <c r="A115" s="7">
        <v>46254</v>
      </c>
      <c r="B115" s="8">
        <v>562.10469999999998</v>
      </c>
      <c r="C115" s="8">
        <v>560.99530000000004</v>
      </c>
      <c r="D115" s="8">
        <v>861.13080000000002</v>
      </c>
      <c r="E115" s="8">
        <v>487.03250000000003</v>
      </c>
      <c r="F115" s="8">
        <v>262.95100000000002</v>
      </c>
      <c r="G115" s="8">
        <v>103.3347</v>
      </c>
      <c r="H115" s="8">
        <v>980.99471200000005</v>
      </c>
      <c r="I115" s="1"/>
      <c r="J115" s="1"/>
      <c r="K115" s="1"/>
      <c r="L115" s="1"/>
      <c r="M115" s="1"/>
      <c r="N115" s="1"/>
      <c r="O115" s="1"/>
    </row>
    <row r="116" spans="1:15" ht="19.95" customHeight="1" x14ac:dyDescent="0.3">
      <c r="A116" s="7">
        <v>46255</v>
      </c>
      <c r="B116" s="8">
        <v>557.9701</v>
      </c>
      <c r="C116" s="8">
        <v>555.65170000000001</v>
      </c>
      <c r="D116" s="8">
        <v>856.5154</v>
      </c>
      <c r="E116" s="8">
        <v>485.846</v>
      </c>
      <c r="F116" s="8">
        <v>261.87650000000002</v>
      </c>
      <c r="G116" s="8">
        <v>103.1125</v>
      </c>
      <c r="H116" s="8">
        <v>978.47237500000006</v>
      </c>
      <c r="I116" s="1"/>
      <c r="J116" s="1"/>
      <c r="K116" s="1"/>
      <c r="L116" s="1"/>
      <c r="M116" s="1"/>
      <c r="N116" s="1"/>
      <c r="O116" s="1"/>
    </row>
    <row r="117" spans="1:15" ht="19.95" customHeight="1" x14ac:dyDescent="0.3">
      <c r="A117" s="7">
        <v>46258</v>
      </c>
      <c r="B117" s="8">
        <v>564.97140000000002</v>
      </c>
      <c r="C117" s="8">
        <v>553.70280000000002</v>
      </c>
      <c r="D117" s="8">
        <v>866.13990000000001</v>
      </c>
      <c r="E117" s="8">
        <v>479.05220000000003</v>
      </c>
      <c r="F117" s="8">
        <v>264.72879999999998</v>
      </c>
      <c r="G117" s="8">
        <v>103.3027</v>
      </c>
      <c r="H117" s="8">
        <v>990.43367899999998</v>
      </c>
      <c r="I117" s="1"/>
      <c r="J117" s="1"/>
      <c r="K117" s="1"/>
      <c r="L117" s="1"/>
      <c r="M117" s="1"/>
      <c r="N117" s="1"/>
      <c r="O117" s="1"/>
    </row>
    <row r="118" spans="1:15" ht="19.95" customHeight="1" x14ac:dyDescent="0.3">
      <c r="A118" s="7">
        <v>46259</v>
      </c>
      <c r="B118" s="8">
        <v>562.61059999999998</v>
      </c>
      <c r="C118" s="8">
        <v>539.75720000000001</v>
      </c>
      <c r="D118" s="8">
        <v>858.49869999999999</v>
      </c>
      <c r="E118" s="8">
        <v>470.45060000000001</v>
      </c>
      <c r="F118" s="8">
        <v>261.63909999999998</v>
      </c>
      <c r="G118" s="8">
        <v>103.2072</v>
      </c>
      <c r="H118" s="8">
        <v>982.78469099999995</v>
      </c>
      <c r="I118" s="1"/>
      <c r="J118" s="1"/>
      <c r="K118" s="1"/>
      <c r="L118" s="1"/>
      <c r="M118" s="1"/>
      <c r="N118" s="1"/>
      <c r="O118" s="1"/>
    </row>
    <row r="119" spans="1:15" ht="19.95" customHeight="1" x14ac:dyDescent="0.3">
      <c r="A119" s="7">
        <v>46260</v>
      </c>
      <c r="B119" s="8">
        <v>557.77480000000003</v>
      </c>
      <c r="C119" s="8">
        <v>537.46690000000001</v>
      </c>
      <c r="D119" s="8">
        <v>846.92399999999998</v>
      </c>
      <c r="E119" s="8">
        <v>468.14609999999999</v>
      </c>
      <c r="F119" s="8">
        <v>258.99849999999998</v>
      </c>
      <c r="G119" s="8">
        <v>103.19410000000001</v>
      </c>
      <c r="H119" s="8">
        <v>970.45725300000004</v>
      </c>
      <c r="I119" s="1"/>
      <c r="J119" s="1"/>
      <c r="K119" s="1"/>
      <c r="L119" s="1"/>
      <c r="M119" s="1"/>
      <c r="N119" s="1"/>
      <c r="O119" s="1"/>
    </row>
    <row r="120" spans="1:15" ht="19.95" customHeight="1" x14ac:dyDescent="0.3">
      <c r="A120" s="7">
        <v>46261</v>
      </c>
      <c r="B120" s="8">
        <v>547.86419999999998</v>
      </c>
      <c r="C120" s="8">
        <v>529.21659999999997</v>
      </c>
      <c r="D120" s="8">
        <v>846.61659999999995</v>
      </c>
      <c r="E120" s="8">
        <v>468.76319999999998</v>
      </c>
      <c r="F120" s="8">
        <v>256.93779999999998</v>
      </c>
      <c r="G120" s="8">
        <v>103.2336</v>
      </c>
      <c r="H120" s="8">
        <v>963.73159299999998</v>
      </c>
      <c r="I120" s="1"/>
      <c r="J120" s="1"/>
      <c r="K120" s="1"/>
      <c r="L120" s="1"/>
      <c r="M120" s="1"/>
      <c r="N120" s="1"/>
      <c r="O120" s="1"/>
    </row>
    <row r="121" spans="1:15" ht="19.95" customHeight="1" x14ac:dyDescent="0.3">
      <c r="A121" s="7">
        <v>46262</v>
      </c>
      <c r="B121" s="8">
        <v>552.94259999999997</v>
      </c>
      <c r="C121" s="8">
        <v>529.37699999999995</v>
      </c>
      <c r="D121" s="8">
        <v>843.50789999999995</v>
      </c>
      <c r="E121" s="8">
        <v>474.74880000000002</v>
      </c>
      <c r="F121" s="8">
        <v>258.92540000000002</v>
      </c>
      <c r="G121" s="8">
        <v>103.4686</v>
      </c>
      <c r="H121" s="8">
        <v>973.70688800000005</v>
      </c>
      <c r="I121" s="1"/>
      <c r="J121" s="1"/>
      <c r="K121" s="1"/>
      <c r="L121" s="1"/>
      <c r="M121" s="1"/>
      <c r="N121" s="1"/>
      <c r="O121" s="1"/>
    </row>
    <row r="122" spans="1:15" ht="19.95" customHeight="1" x14ac:dyDescent="0.3">
      <c r="A122" s="7">
        <v>46265</v>
      </c>
      <c r="B122" s="8">
        <v>555.58169999999996</v>
      </c>
      <c r="C122" s="8">
        <v>537.08029999999997</v>
      </c>
      <c r="D122" s="8">
        <v>849.95569999999998</v>
      </c>
      <c r="E122" s="8">
        <v>475.68740000000003</v>
      </c>
      <c r="F122" s="8">
        <v>257.96969999999999</v>
      </c>
      <c r="G122" s="8">
        <v>103.3942</v>
      </c>
      <c r="H122" s="8">
        <v>974.55499099999997</v>
      </c>
      <c r="I122" s="1"/>
      <c r="J122" s="1"/>
      <c r="K122" s="1"/>
      <c r="L122" s="1"/>
      <c r="M122" s="1"/>
      <c r="N122" s="1"/>
      <c r="O122" s="1"/>
    </row>
    <row r="123" spans="1:15" ht="19.95" customHeight="1" x14ac:dyDescent="0.3">
      <c r="A123" s="7">
        <v>46266</v>
      </c>
      <c r="B123" s="8">
        <v>565.8605</v>
      </c>
      <c r="C123" s="8">
        <v>535.44129999999996</v>
      </c>
      <c r="D123" s="8">
        <v>862.70899999999995</v>
      </c>
      <c r="E123" s="8">
        <v>475.30290000000002</v>
      </c>
      <c r="F123" s="8">
        <v>259.22199999999998</v>
      </c>
      <c r="G123" s="8">
        <v>103.4372</v>
      </c>
      <c r="H123" s="8">
        <v>980.06015100000002</v>
      </c>
      <c r="I123" s="1"/>
      <c r="J123" s="1"/>
      <c r="K123" s="1"/>
      <c r="L123" s="1"/>
      <c r="M123" s="1"/>
      <c r="N123" s="1"/>
      <c r="O123" s="1"/>
    </row>
    <row r="124" spans="1:15" ht="19.95" customHeight="1" x14ac:dyDescent="0.3">
      <c r="A124" s="7">
        <v>46267</v>
      </c>
      <c r="B124" s="8">
        <v>568.60940000000005</v>
      </c>
      <c r="C124" s="8">
        <v>538.94410000000005</v>
      </c>
      <c r="D124" s="8">
        <v>861.31769999999995</v>
      </c>
      <c r="E124" s="8">
        <v>481.20460000000003</v>
      </c>
      <c r="F124" s="8">
        <v>259.45119999999997</v>
      </c>
      <c r="G124" s="8">
        <v>103.488</v>
      </c>
      <c r="H124" s="8">
        <v>978.62048300000004</v>
      </c>
      <c r="I124" s="1"/>
      <c r="J124" s="1"/>
      <c r="K124" s="1"/>
      <c r="L124" s="1"/>
      <c r="M124" s="1"/>
      <c r="N124" s="1"/>
      <c r="O124" s="1"/>
    </row>
    <row r="125" spans="1:15" ht="19.95" customHeight="1" x14ac:dyDescent="0.3">
      <c r="A125" s="7">
        <v>46268</v>
      </c>
      <c r="B125" s="8">
        <v>569.04150000000004</v>
      </c>
      <c r="C125" s="8">
        <v>536.10950000000003</v>
      </c>
      <c r="D125" s="8">
        <v>854.56179999999995</v>
      </c>
      <c r="E125" s="8">
        <v>482.18180000000001</v>
      </c>
      <c r="F125" s="8">
        <v>259.375</v>
      </c>
      <c r="G125" s="8">
        <v>103.52930000000001</v>
      </c>
      <c r="H125" s="8">
        <v>979.95535900000004</v>
      </c>
      <c r="I125" s="1"/>
      <c r="J125" s="1"/>
      <c r="K125" s="1"/>
      <c r="L125" s="1"/>
      <c r="M125" s="1"/>
      <c r="N125" s="1"/>
      <c r="O125" s="1"/>
    </row>
    <row r="126" spans="1:15" ht="19.95" customHeight="1" x14ac:dyDescent="0.3">
      <c r="A126" s="7">
        <v>46269</v>
      </c>
      <c r="B126" s="8">
        <v>571.2885</v>
      </c>
      <c r="C126" s="8">
        <v>540.41949999999997</v>
      </c>
      <c r="D126" s="8">
        <v>862.9248</v>
      </c>
      <c r="E126" s="8">
        <v>488.55840000000001</v>
      </c>
      <c r="F126" s="8">
        <v>261.17520000000002</v>
      </c>
      <c r="G126" s="8">
        <v>103.65560000000001</v>
      </c>
      <c r="H126" s="8">
        <v>987.73055299999999</v>
      </c>
      <c r="I126" s="1"/>
      <c r="J126" s="1"/>
      <c r="K126" s="1"/>
      <c r="L126" s="1"/>
      <c r="M126" s="1"/>
      <c r="N126" s="1"/>
      <c r="O126" s="1"/>
    </row>
    <row r="127" spans="1:15" ht="19.95" customHeight="1" x14ac:dyDescent="0.3">
      <c r="A127" s="7">
        <v>46272</v>
      </c>
      <c r="B127" s="8">
        <v>568.1386</v>
      </c>
      <c r="C127" s="8">
        <v>543.63469999999995</v>
      </c>
      <c r="D127" s="8">
        <v>867.15369999999996</v>
      </c>
      <c r="E127" s="8">
        <v>485.70420000000001</v>
      </c>
      <c r="F127" s="8">
        <v>261.17540000000002</v>
      </c>
      <c r="G127" s="8">
        <v>103.733</v>
      </c>
      <c r="H127" s="8">
        <v>992.424575</v>
      </c>
      <c r="I127" s="1"/>
      <c r="J127" s="1"/>
      <c r="K127" s="1"/>
      <c r="L127" s="1"/>
      <c r="M127" s="1"/>
      <c r="N127" s="1"/>
      <c r="O127" s="1"/>
    </row>
    <row r="128" spans="1:15" ht="19.95" customHeight="1" x14ac:dyDescent="0.3">
      <c r="A128" s="7">
        <v>46273</v>
      </c>
      <c r="B128" s="8">
        <v>562.39089999999999</v>
      </c>
      <c r="C128" s="8">
        <v>551.28840000000002</v>
      </c>
      <c r="D128" s="8">
        <v>869.79579999999999</v>
      </c>
      <c r="E128" s="8">
        <v>481.61079999999998</v>
      </c>
      <c r="F128" s="8">
        <v>261.27359999999999</v>
      </c>
      <c r="G128" s="8">
        <v>103.715</v>
      </c>
      <c r="H128" s="8">
        <v>995.62190099999998</v>
      </c>
      <c r="I128" s="1"/>
      <c r="J128" s="1"/>
      <c r="K128" s="1"/>
      <c r="L128" s="1"/>
      <c r="M128" s="1"/>
      <c r="N128" s="1"/>
      <c r="O128" s="1"/>
    </row>
    <row r="129" spans="1:15" ht="19.95" customHeight="1" x14ac:dyDescent="0.3">
      <c r="A129" s="7">
        <v>46274</v>
      </c>
      <c r="B129" s="8">
        <v>568.76369999999997</v>
      </c>
      <c r="C129" s="8">
        <v>563.45069999999998</v>
      </c>
      <c r="D129" s="8">
        <v>878.48</v>
      </c>
      <c r="E129" s="8">
        <v>481.84789999999998</v>
      </c>
      <c r="F129" s="8">
        <v>261.6814</v>
      </c>
      <c r="G129" s="8">
        <v>103.6913</v>
      </c>
      <c r="H129" s="8">
        <v>998.24381700000004</v>
      </c>
      <c r="I129" s="1"/>
      <c r="J129" s="1"/>
      <c r="K129" s="1"/>
      <c r="L129" s="1"/>
      <c r="M129" s="1"/>
      <c r="N129" s="1"/>
      <c r="O129" s="1"/>
    </row>
    <row r="130" spans="1:15" ht="19.95" customHeight="1" x14ac:dyDescent="0.3">
      <c r="A130" s="7">
        <v>46275</v>
      </c>
      <c r="B130" s="8">
        <v>565.03240000000005</v>
      </c>
      <c r="C130" s="8">
        <v>559.74289999999996</v>
      </c>
      <c r="D130" s="8">
        <v>878.64340000000004</v>
      </c>
      <c r="E130" s="8">
        <v>481.279</v>
      </c>
      <c r="F130" s="8">
        <v>260.91730000000001</v>
      </c>
      <c r="G130" s="8">
        <v>103.4815</v>
      </c>
      <c r="H130" s="8">
        <v>996.74560499999995</v>
      </c>
      <c r="I130" s="1"/>
      <c r="J130" s="1"/>
      <c r="K130" s="1"/>
      <c r="L130" s="1"/>
      <c r="M130" s="1"/>
      <c r="N130" s="1"/>
      <c r="O130" s="1"/>
    </row>
    <row r="131" spans="1:15" ht="19.95" customHeight="1" x14ac:dyDescent="0.3">
      <c r="A131" s="7">
        <v>46276</v>
      </c>
      <c r="B131" s="8">
        <v>567.66480000000001</v>
      </c>
      <c r="C131" s="8">
        <v>567.20219999999995</v>
      </c>
      <c r="D131" s="8">
        <v>873.55759999999998</v>
      </c>
      <c r="E131" s="8">
        <v>476.91030000000001</v>
      </c>
      <c r="F131" s="8">
        <v>262.16989999999998</v>
      </c>
      <c r="G131" s="8">
        <v>103.72539999999999</v>
      </c>
      <c r="H131" s="8">
        <v>1003.249051</v>
      </c>
      <c r="I131" s="1"/>
      <c r="J131" s="1"/>
      <c r="K131" s="1"/>
      <c r="L131" s="1"/>
      <c r="M131" s="1"/>
      <c r="N131" s="1"/>
      <c r="O131" s="1"/>
    </row>
    <row r="132" spans="1:15" ht="19.95" customHeight="1" x14ac:dyDescent="0.3">
      <c r="A132" s="7">
        <v>46279</v>
      </c>
      <c r="B132" s="8">
        <v>555.49540000000002</v>
      </c>
      <c r="C132" s="8">
        <v>552.17449999999997</v>
      </c>
      <c r="D132" s="8">
        <v>865.39179999999999</v>
      </c>
      <c r="E132" s="8">
        <v>468.8963</v>
      </c>
      <c r="F132" s="8">
        <v>259.7423</v>
      </c>
      <c r="G132" s="8">
        <v>103.6641</v>
      </c>
      <c r="H132" s="8">
        <v>985.78039699999999</v>
      </c>
      <c r="I132" s="1"/>
      <c r="J132" s="1"/>
      <c r="K132" s="1"/>
      <c r="L132" s="1"/>
      <c r="M132" s="1"/>
      <c r="N132" s="1"/>
      <c r="O132" s="1"/>
    </row>
    <row r="133" spans="1:15" ht="19.95" customHeight="1" x14ac:dyDescent="0.3">
      <c r="A133" s="7">
        <v>46280</v>
      </c>
      <c r="B133" s="8">
        <v>555.51800000000003</v>
      </c>
      <c r="C133" s="8">
        <v>548.93309999999997</v>
      </c>
      <c r="D133" s="8">
        <v>869.43820000000005</v>
      </c>
      <c r="E133" s="8">
        <v>464.27800000000002</v>
      </c>
      <c r="F133" s="8">
        <v>258.6078</v>
      </c>
      <c r="G133" s="8">
        <v>103.66330000000001</v>
      </c>
      <c r="H133" s="8">
        <v>979.81470200000001</v>
      </c>
      <c r="I133" s="1"/>
      <c r="J133" s="1"/>
      <c r="K133" s="1"/>
      <c r="L133" s="1"/>
      <c r="M133" s="1"/>
      <c r="N133" s="1"/>
      <c r="O133" s="1"/>
    </row>
    <row r="134" spans="1:15" ht="19.95" customHeight="1" x14ac:dyDescent="0.3">
      <c r="A134" s="7">
        <v>46281</v>
      </c>
      <c r="B134" s="8">
        <v>554.35239999999999</v>
      </c>
      <c r="C134" s="8">
        <v>544.35040000000004</v>
      </c>
      <c r="D134" s="8">
        <v>874.90589999999997</v>
      </c>
      <c r="E134" s="8">
        <v>466.10469999999998</v>
      </c>
      <c r="F134" s="8">
        <v>259.38080000000002</v>
      </c>
      <c r="G134" s="8">
        <v>103.6747</v>
      </c>
      <c r="H134" s="8">
        <v>978.11500799999999</v>
      </c>
      <c r="I134" s="1"/>
      <c r="J134" s="1"/>
      <c r="K134" s="1"/>
      <c r="L134" s="1"/>
      <c r="M134" s="1"/>
      <c r="N134" s="1"/>
      <c r="O134" s="1"/>
    </row>
    <row r="135" spans="1:15" ht="19.95" customHeight="1" x14ac:dyDescent="0.3">
      <c r="A135" s="7">
        <v>46282</v>
      </c>
      <c r="B135" s="8">
        <v>553.55340000000001</v>
      </c>
      <c r="C135" s="8">
        <v>529.57690000000002</v>
      </c>
      <c r="D135" s="8">
        <v>866.18380000000002</v>
      </c>
      <c r="E135" s="8">
        <v>460.10489999999999</v>
      </c>
      <c r="F135" s="8">
        <v>258.02929999999998</v>
      </c>
      <c r="G135" s="8">
        <v>103.7487</v>
      </c>
      <c r="H135" s="8">
        <v>971.580466</v>
      </c>
      <c r="I135" s="1"/>
      <c r="J135" s="1"/>
      <c r="K135" s="1"/>
      <c r="L135" s="1"/>
      <c r="M135" s="1"/>
      <c r="N135" s="1"/>
      <c r="O135" s="1"/>
    </row>
    <row r="136" spans="1:15" ht="19.95" customHeight="1" x14ac:dyDescent="0.3">
      <c r="A136" s="7">
        <v>46283</v>
      </c>
      <c r="B136" s="8">
        <v>547.4307</v>
      </c>
      <c r="C136" s="8">
        <v>522.94749999999999</v>
      </c>
      <c r="D136" s="8">
        <v>859.55989999999997</v>
      </c>
      <c r="E136" s="8">
        <v>453.3229</v>
      </c>
      <c r="F136" s="8">
        <v>256.74239999999998</v>
      </c>
      <c r="G136" s="8">
        <v>103.68210000000001</v>
      </c>
      <c r="H136" s="8">
        <v>966.24133900000004</v>
      </c>
      <c r="I136" s="1"/>
      <c r="J136" s="1"/>
      <c r="K136" s="1"/>
      <c r="L136" s="1"/>
      <c r="M136" s="1"/>
      <c r="N136" s="1"/>
      <c r="O136" s="1"/>
    </row>
    <row r="137" spans="1:15" ht="19.9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9.9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</sheetData>
  <pageMargins left="0.25" right="0.25" top="0.25" bottom="0.25" header="0.3" footer="0.3"/>
  <pageSetup paperSize="8" scale="78" orientation="landscape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20"/>
  <sheetViews>
    <sheetView showGridLines="0" zoomScale="90" zoomScaleNormal="90" workbookViewId="0"/>
  </sheetViews>
  <sheetFormatPr defaultRowHeight="14.4" x14ac:dyDescent="0.3"/>
  <cols>
    <col min="1" max="1" width="33.5546875" bestFit="1" customWidth="1"/>
    <col min="2" max="4" width="24" customWidth="1"/>
    <col min="5" max="7" width="13" customWidth="1"/>
  </cols>
  <sheetData>
    <row r="1" spans="1:20" ht="19.95" customHeight="1" x14ac:dyDescent="0.3">
      <c r="A1" s="1"/>
      <c r="B1" s="1"/>
      <c r="C1" s="1"/>
      <c r="D1" s="1"/>
      <c r="E1" s="1"/>
      <c r="F1" s="1"/>
      <c r="G1" s="1"/>
    </row>
    <row r="2" spans="1:20" ht="19.95" customHeight="1" x14ac:dyDescent="0.3">
      <c r="A2" s="2" t="s">
        <v>164</v>
      </c>
      <c r="B2" s="1"/>
      <c r="C2" s="1"/>
      <c r="D2" s="1"/>
      <c r="E2" s="1"/>
      <c r="F2" s="1"/>
      <c r="G2" s="1"/>
    </row>
    <row r="3" spans="1:20" ht="19.95" customHeight="1" x14ac:dyDescent="0.3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9.95" customHeight="1" x14ac:dyDescent="0.3">
      <c r="A4" s="5" t="s">
        <v>250</v>
      </c>
      <c r="B4" s="1"/>
      <c r="C4" s="1"/>
      <c r="D4" s="1"/>
      <c r="E4" s="1"/>
      <c r="F4" s="1"/>
      <c r="G4" s="1"/>
    </row>
    <row r="5" spans="1:20" ht="19.95" customHeight="1" x14ac:dyDescent="0.3">
      <c r="A5" s="1"/>
      <c r="B5" s="1"/>
      <c r="C5" s="1"/>
      <c r="D5" s="1"/>
      <c r="E5" s="1"/>
      <c r="F5" s="1"/>
      <c r="G5" s="1"/>
    </row>
    <row r="6" spans="1:20" x14ac:dyDescent="0.3">
      <c r="A6" s="6" t="s">
        <v>11</v>
      </c>
      <c r="B6" s="20" t="s">
        <v>75</v>
      </c>
      <c r="C6" s="20" t="s">
        <v>165</v>
      </c>
      <c r="D6" s="20" t="s">
        <v>166</v>
      </c>
      <c r="E6" s="1"/>
      <c r="F6" s="1"/>
      <c r="G6" s="1"/>
    </row>
    <row r="7" spans="1:20" x14ac:dyDescent="0.3">
      <c r="A7" s="1" t="s">
        <v>46</v>
      </c>
      <c r="B7" s="8">
        <v>547.4307</v>
      </c>
      <c r="C7" s="24">
        <v>46283.645833333336</v>
      </c>
      <c r="D7" s="24">
        <v>46286.964532418984</v>
      </c>
      <c r="E7" s="1"/>
      <c r="F7" s="1"/>
      <c r="G7" s="1"/>
    </row>
    <row r="8" spans="1:20" ht="19.95" customHeight="1" x14ac:dyDescent="0.3">
      <c r="A8" s="1" t="s">
        <v>49</v>
      </c>
      <c r="B8" s="8">
        <v>522.94749999999999</v>
      </c>
      <c r="C8" s="24">
        <v>46283.645833333336</v>
      </c>
      <c r="D8" s="24">
        <v>46286.964532418984</v>
      </c>
      <c r="E8" s="1"/>
      <c r="F8" s="1"/>
      <c r="G8" s="1"/>
    </row>
    <row r="9" spans="1:20" ht="19.95" customHeight="1" x14ac:dyDescent="0.3">
      <c r="A9" s="1" t="s">
        <v>52</v>
      </c>
      <c r="B9" s="8">
        <v>859.55989999999997</v>
      </c>
      <c r="C9" s="24">
        <v>46283.645833333336</v>
      </c>
      <c r="D9" s="24">
        <v>46286.964532418984</v>
      </c>
      <c r="E9" s="1"/>
      <c r="F9" s="1"/>
      <c r="G9" s="1"/>
    </row>
    <row r="10" spans="1:20" ht="19.95" customHeight="1" x14ac:dyDescent="0.3">
      <c r="A10" s="1" t="s">
        <v>55</v>
      </c>
      <c r="B10" s="8">
        <v>453.3229</v>
      </c>
      <c r="C10" s="24">
        <v>46283.645833333336</v>
      </c>
      <c r="D10" s="24">
        <v>46286.964532418984</v>
      </c>
      <c r="E10" s="1"/>
      <c r="F10" s="1"/>
      <c r="G10" s="1"/>
    </row>
    <row r="11" spans="1:20" ht="19.95" customHeight="1" x14ac:dyDescent="0.3">
      <c r="A11" s="1" t="s">
        <v>58</v>
      </c>
      <c r="B11" s="8">
        <v>256.74239999999998</v>
      </c>
      <c r="C11" s="24">
        <v>46283.645833333336</v>
      </c>
      <c r="D11" s="24">
        <v>46286.964532418984</v>
      </c>
      <c r="E11" s="1"/>
      <c r="F11" s="1"/>
      <c r="G11" s="1"/>
    </row>
    <row r="12" spans="1:20" ht="19.95" customHeight="1" x14ac:dyDescent="0.3">
      <c r="A12" s="1" t="s">
        <v>61</v>
      </c>
      <c r="B12" s="8">
        <v>103.68210000000001</v>
      </c>
      <c r="C12" s="24">
        <v>46283.645833333336</v>
      </c>
      <c r="D12" s="24">
        <v>46286.964532418984</v>
      </c>
      <c r="E12" s="1"/>
      <c r="F12" s="1"/>
      <c r="G12" s="1"/>
    </row>
    <row r="13" spans="1:20" ht="19.95" customHeight="1" x14ac:dyDescent="0.3">
      <c r="A13" s="1"/>
      <c r="B13" s="1"/>
      <c r="C13" s="1"/>
      <c r="D13" s="1"/>
      <c r="E13" s="1"/>
      <c r="F13" s="1"/>
      <c r="G13" s="1"/>
    </row>
    <row r="14" spans="1:20" ht="19.95" customHeight="1" x14ac:dyDescent="0.3">
      <c r="A14" s="1"/>
      <c r="B14" s="1"/>
      <c r="C14" s="1"/>
      <c r="D14" s="1"/>
      <c r="E14" s="1"/>
      <c r="F14" s="1"/>
      <c r="G14" s="1"/>
    </row>
    <row r="15" spans="1:20" ht="19.95" customHeight="1" x14ac:dyDescent="0.3">
      <c r="A15" s="1"/>
      <c r="B15" s="1"/>
      <c r="C15" s="1"/>
      <c r="D15" s="1"/>
      <c r="E15" s="1"/>
      <c r="F15" s="1"/>
      <c r="G15" s="1"/>
    </row>
    <row r="16" spans="1:20" ht="19.95" customHeight="1" x14ac:dyDescent="0.3">
      <c r="A16" s="1"/>
      <c r="B16" s="1"/>
      <c r="C16" s="1"/>
      <c r="D16" s="1"/>
      <c r="E16" s="1"/>
      <c r="F16" s="1"/>
      <c r="G16" s="1"/>
    </row>
    <row r="17" spans="1:7" ht="19.95" customHeight="1" x14ac:dyDescent="0.3">
      <c r="A17" s="1"/>
      <c r="B17" s="1"/>
      <c r="C17" s="1"/>
      <c r="D17" s="1"/>
      <c r="E17" s="1"/>
      <c r="F17" s="1"/>
      <c r="G17" s="1"/>
    </row>
    <row r="18" spans="1:7" ht="19.95" customHeight="1" x14ac:dyDescent="0.3">
      <c r="A18" s="1"/>
      <c r="B18" s="1"/>
      <c r="C18" s="1"/>
      <c r="D18" s="1"/>
      <c r="E18" s="1"/>
      <c r="F18" s="1"/>
      <c r="G18" s="1"/>
    </row>
    <row r="19" spans="1:7" ht="19.95" customHeight="1" x14ac:dyDescent="0.3">
      <c r="A19" s="1"/>
      <c r="B19" s="1"/>
      <c r="C19" s="1"/>
      <c r="D19" s="1"/>
      <c r="E19" s="1"/>
      <c r="F19" s="1"/>
      <c r="G19" s="1"/>
    </row>
    <row r="20" spans="1:7" ht="19.95" customHeight="1" x14ac:dyDescent="0.3">
      <c r="A20" s="1"/>
      <c r="B20" s="1"/>
      <c r="C20" s="1"/>
      <c r="D20" s="1"/>
      <c r="E20" s="1"/>
      <c r="F20" s="1"/>
      <c r="G20" s="1"/>
    </row>
  </sheetData>
  <phoneticPr fontId="8" type="noConversion"/>
  <pageMargins left="0.25" right="0.25" top="0.25" bottom="0.25" header="0.3" footer="0.3"/>
  <pageSetup paperSize="8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0691-CD64-41F7-B5E1-BA0CB203402E}">
  <sheetPr>
    <pageSetUpPr fitToPage="1"/>
  </sheetPr>
  <dimension ref="A1:J24"/>
  <sheetViews>
    <sheetView showGridLines="0" zoomScale="85" zoomScaleNormal="85" workbookViewId="0"/>
  </sheetViews>
  <sheetFormatPr defaultRowHeight="14.4" x14ac:dyDescent="0.3"/>
  <cols>
    <col min="1" max="1" width="31.33203125" bestFit="1" customWidth="1"/>
    <col min="2" max="2" width="14" customWidth="1"/>
    <col min="3" max="4" width="24" customWidth="1"/>
    <col min="5" max="5" width="38" customWidth="1"/>
    <col min="6" max="7" width="24" customWidth="1"/>
  </cols>
  <sheetData>
    <row r="1" spans="1:10" ht="22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2.95" customHeight="1" x14ac:dyDescent="0.3">
      <c r="A2" s="2" t="s">
        <v>233</v>
      </c>
      <c r="B2" s="1"/>
      <c r="C2" s="1"/>
      <c r="D2" s="1"/>
      <c r="E2" s="1"/>
      <c r="F2" s="1"/>
      <c r="G2" s="1"/>
      <c r="H2" s="1"/>
      <c r="I2" s="1"/>
      <c r="J2" s="1"/>
    </row>
    <row r="3" spans="1:10" ht="22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2.95" customHeight="1" x14ac:dyDescent="0.3">
      <c r="A4" s="1" t="s">
        <v>234</v>
      </c>
      <c r="B4" s="1"/>
      <c r="C4" s="1"/>
      <c r="D4" s="1"/>
      <c r="E4" s="1"/>
      <c r="F4" s="1"/>
      <c r="G4" s="1"/>
      <c r="H4" s="1"/>
      <c r="I4" s="1"/>
      <c r="J4" s="1"/>
    </row>
    <row r="5" spans="1:10" ht="22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26" t="s">
        <v>11</v>
      </c>
      <c r="B6" s="27" t="s">
        <v>75</v>
      </c>
      <c r="C6" s="27" t="s">
        <v>165</v>
      </c>
      <c r="D6" s="27" t="s">
        <v>166</v>
      </c>
      <c r="E6" s="27" t="s">
        <v>235</v>
      </c>
      <c r="F6" s="27" t="s">
        <v>236</v>
      </c>
      <c r="G6" s="27" t="s">
        <v>237</v>
      </c>
      <c r="H6" s="1"/>
      <c r="I6" s="1"/>
      <c r="J6" s="1"/>
    </row>
    <row r="7" spans="1:10" x14ac:dyDescent="0.3">
      <c r="A7" s="1" t="s">
        <v>46</v>
      </c>
      <c r="B7" s="25">
        <v>547.4307</v>
      </c>
      <c r="C7" s="24">
        <v>46283.645833333336</v>
      </c>
      <c r="D7" s="24">
        <v>46286.964533599537</v>
      </c>
      <c r="E7" s="1" t="s">
        <v>238</v>
      </c>
      <c r="F7" s="1" t="s">
        <v>239</v>
      </c>
      <c r="G7" s="24">
        <v>46286.964533599537</v>
      </c>
      <c r="H7" s="1"/>
      <c r="I7" s="1"/>
      <c r="J7" s="1"/>
    </row>
    <row r="8" spans="1:10" ht="22.95" customHeight="1" x14ac:dyDescent="0.3">
      <c r="A8" s="1" t="s">
        <v>49</v>
      </c>
      <c r="B8" s="25">
        <v>522.94749999999999</v>
      </c>
      <c r="C8" s="24">
        <v>46283.645833333336</v>
      </c>
      <c r="D8" s="24">
        <v>46286.964533599537</v>
      </c>
      <c r="E8" s="1" t="s">
        <v>238</v>
      </c>
      <c r="F8" s="1" t="s">
        <v>239</v>
      </c>
      <c r="G8" s="24">
        <v>46286.964533599537</v>
      </c>
      <c r="H8" s="1"/>
      <c r="I8" s="1"/>
      <c r="J8" s="1"/>
    </row>
    <row r="9" spans="1:10" ht="22.95" customHeight="1" x14ac:dyDescent="0.3">
      <c r="A9" s="1"/>
      <c r="B9" s="25"/>
      <c r="C9" s="24"/>
      <c r="D9" s="24"/>
      <c r="E9" s="1"/>
      <c r="F9" s="1"/>
      <c r="G9" s="24"/>
      <c r="H9" s="1"/>
      <c r="I9" s="1"/>
      <c r="J9" s="1"/>
    </row>
    <row r="10" spans="1:10" ht="22.95" customHeight="1" x14ac:dyDescent="0.3">
      <c r="A10" s="1"/>
      <c r="B10" s="25"/>
      <c r="C10" s="24"/>
      <c r="D10" s="24"/>
      <c r="E10" s="1"/>
      <c r="F10" s="1"/>
      <c r="G10" s="24"/>
      <c r="H10" s="1"/>
      <c r="I10" s="1"/>
      <c r="J10" s="1"/>
    </row>
    <row r="11" spans="1:10" ht="22.95" customHeight="1" x14ac:dyDescent="0.3">
      <c r="A11" s="1"/>
      <c r="B11" s="25"/>
      <c r="C11" s="24"/>
      <c r="D11" s="24"/>
      <c r="E11" s="1"/>
      <c r="F11" s="1"/>
      <c r="G11" s="24"/>
      <c r="H11" s="1"/>
      <c r="I11" s="1"/>
      <c r="J11" s="1"/>
    </row>
    <row r="12" spans="1:10" ht="22.95" customHeight="1" x14ac:dyDescent="0.3">
      <c r="A12" s="1"/>
      <c r="B12" s="25"/>
      <c r="C12" s="24"/>
      <c r="D12" s="24"/>
      <c r="E12" s="1"/>
      <c r="F12" s="1"/>
      <c r="G12" s="24"/>
      <c r="H12" s="1"/>
      <c r="I12" s="1"/>
      <c r="J12" s="1"/>
    </row>
    <row r="13" spans="1:10" ht="22.95" customHeight="1" x14ac:dyDescent="0.3">
      <c r="A13" s="1"/>
      <c r="B13" s="25"/>
      <c r="C13" s="24"/>
      <c r="D13" s="24"/>
      <c r="E13" s="1"/>
      <c r="F13" s="1"/>
      <c r="G13" s="24"/>
      <c r="H13" s="1"/>
      <c r="I13" s="1"/>
      <c r="J13" s="1"/>
    </row>
    <row r="14" spans="1:10" ht="22.95" customHeight="1" x14ac:dyDescent="0.3">
      <c r="A14" s="1"/>
      <c r="B14" s="25"/>
      <c r="C14" s="24"/>
      <c r="D14" s="24"/>
      <c r="E14" s="1"/>
      <c r="F14" s="1"/>
      <c r="G14" s="24"/>
      <c r="H14" s="1"/>
      <c r="I14" s="1"/>
      <c r="J14" s="1"/>
    </row>
    <row r="15" spans="1:10" ht="22.95" customHeight="1" x14ac:dyDescent="0.3">
      <c r="A15" s="1"/>
      <c r="B15" s="25"/>
      <c r="C15" s="24"/>
      <c r="D15" s="24"/>
      <c r="E15" s="1"/>
      <c r="F15" s="1"/>
      <c r="G15" s="24"/>
      <c r="H15" s="1"/>
      <c r="I15" s="1"/>
      <c r="J15" s="1"/>
    </row>
    <row r="16" spans="1:10" ht="22.95" customHeight="1" x14ac:dyDescent="0.3">
      <c r="A16" s="1"/>
      <c r="B16" s="25"/>
      <c r="C16" s="24"/>
      <c r="D16" s="24"/>
      <c r="E16" s="1"/>
      <c r="F16" s="1"/>
      <c r="G16" s="24"/>
      <c r="H16" s="1"/>
      <c r="I16" s="1"/>
      <c r="J16" s="1"/>
    </row>
    <row r="17" spans="1:10" ht="22.95" customHeight="1" x14ac:dyDescent="0.3">
      <c r="A17" s="1"/>
      <c r="B17" s="25"/>
      <c r="C17" s="24"/>
      <c r="D17" s="24"/>
      <c r="E17" s="1"/>
      <c r="F17" s="1"/>
      <c r="G17" s="24"/>
      <c r="H17" s="1"/>
      <c r="I17" s="1"/>
      <c r="J17" s="1"/>
    </row>
    <row r="18" spans="1:10" ht="22.95" customHeight="1" x14ac:dyDescent="0.3">
      <c r="A18" s="1"/>
      <c r="B18" s="25"/>
      <c r="C18" s="24"/>
      <c r="D18" s="24"/>
      <c r="E18" s="1"/>
      <c r="F18" s="1"/>
      <c r="G18" s="24"/>
      <c r="H18" s="1"/>
      <c r="I18" s="1"/>
      <c r="J18" s="1"/>
    </row>
    <row r="19" spans="1:10" ht="22.95" customHeight="1" x14ac:dyDescent="0.3">
      <c r="A19" s="1"/>
      <c r="B19" s="25"/>
      <c r="C19" s="24"/>
      <c r="D19" s="24"/>
      <c r="E19" s="1"/>
      <c r="F19" s="1"/>
      <c r="G19" s="24"/>
      <c r="H19" s="1"/>
      <c r="I19" s="1"/>
      <c r="J19" s="1"/>
    </row>
    <row r="20" spans="1:10" ht="22.95" customHeight="1" x14ac:dyDescent="0.3">
      <c r="A20" s="1"/>
      <c r="B20" s="25"/>
      <c r="C20" s="24"/>
      <c r="D20" s="24"/>
      <c r="E20" s="1"/>
      <c r="F20" s="1"/>
      <c r="G20" s="24"/>
      <c r="H20" s="1"/>
      <c r="I20" s="1"/>
      <c r="J20" s="1"/>
    </row>
    <row r="21" spans="1:10" ht="22.9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2.9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2.9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2.9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phoneticPr fontId="8" type="noConversion"/>
  <pageMargins left="0.25" right="0.25" top="0.25" bottom="0.25" header="0.3" footer="0.3"/>
  <pageSetup paperSize="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20"/>
  <sheetViews>
    <sheetView showGridLines="0" zoomScale="90" zoomScaleNormal="90" workbookViewId="0"/>
  </sheetViews>
  <sheetFormatPr defaultRowHeight="14.4" x14ac:dyDescent="0.3"/>
  <cols>
    <col min="1" max="1" width="35" customWidth="1"/>
    <col min="2" max="8" width="13" customWidth="1"/>
  </cols>
  <sheetData>
    <row r="1" spans="1:20" ht="19.95" customHeight="1" x14ac:dyDescent="0.3">
      <c r="A1" s="1"/>
      <c r="B1" s="1"/>
      <c r="C1" s="1"/>
      <c r="D1" s="1"/>
      <c r="E1" s="1"/>
      <c r="F1" s="1"/>
      <c r="G1" s="1"/>
      <c r="H1" s="1"/>
    </row>
    <row r="2" spans="1:20" ht="19.95" customHeight="1" x14ac:dyDescent="0.3">
      <c r="A2" s="2" t="s">
        <v>167</v>
      </c>
      <c r="B2" s="1"/>
      <c r="C2" s="1"/>
      <c r="D2" s="1"/>
      <c r="E2" s="1"/>
      <c r="F2" s="1"/>
      <c r="G2" s="1"/>
      <c r="H2" s="1"/>
    </row>
    <row r="3" spans="1:20" ht="19.95" customHeight="1" x14ac:dyDescent="0.3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9.95" customHeight="1" x14ac:dyDescent="0.3">
      <c r="A4" s="5" t="s">
        <v>168</v>
      </c>
      <c r="B4" s="1"/>
      <c r="C4" s="1"/>
      <c r="D4" s="1"/>
      <c r="E4" s="1"/>
      <c r="F4" s="1"/>
      <c r="G4" s="1"/>
      <c r="H4" s="1"/>
    </row>
    <row r="5" spans="1:20" ht="19.95" customHeight="1" x14ac:dyDescent="0.3">
      <c r="A5" s="1"/>
      <c r="B5" s="1"/>
      <c r="C5" s="1"/>
      <c r="D5" s="1"/>
      <c r="E5" s="1"/>
      <c r="F5" s="1"/>
      <c r="G5" s="1"/>
      <c r="H5" s="1"/>
    </row>
    <row r="6" spans="1:20" ht="28.95" customHeight="1" x14ac:dyDescent="0.3">
      <c r="A6" s="6" t="s">
        <v>169</v>
      </c>
      <c r="B6" s="6" t="s">
        <v>170</v>
      </c>
      <c r="C6" s="6" t="s">
        <v>171</v>
      </c>
      <c r="D6" s="6" t="s">
        <v>172</v>
      </c>
      <c r="E6" s="1"/>
      <c r="F6" s="1"/>
      <c r="G6" s="1"/>
      <c r="H6" s="1"/>
    </row>
    <row r="7" spans="1:20" ht="19.95" customHeight="1" x14ac:dyDescent="0.3">
      <c r="A7" s="1" t="s">
        <v>173</v>
      </c>
      <c r="B7" s="11">
        <f>Holdings!G16-INDEX(Daily!$J$7:$J$136,MATCH(Portfolio!$J$5,Daily!$A$7:$A$136,0))</f>
        <v>0</v>
      </c>
      <c r="C7" s="11">
        <v>0</v>
      </c>
      <c r="D7" s="1" t="str">
        <f>IF(ABS(B7-C7)&lt;=0.01,"OK","Review")</f>
        <v>OK</v>
      </c>
      <c r="E7" s="1"/>
      <c r="F7" s="1"/>
      <c r="G7" s="1"/>
      <c r="H7" s="1"/>
    </row>
    <row r="8" spans="1:20" ht="19.95" customHeight="1" x14ac:dyDescent="0.3">
      <c r="A8" s="1" t="s">
        <v>174</v>
      </c>
      <c r="B8" s="11">
        <f>COUNTIFS(Ledger!$S$7:$S$1006,"Review*")</f>
        <v>0</v>
      </c>
      <c r="C8" s="11">
        <v>0</v>
      </c>
      <c r="D8" s="1" t="str">
        <f>IF(B8=C8,"OK","Review")</f>
        <v>OK</v>
      </c>
      <c r="E8" s="1"/>
      <c r="F8" s="1"/>
      <c r="G8" s="1"/>
      <c r="H8" s="1"/>
    </row>
    <row r="9" spans="1:20" ht="19.95" customHeight="1" x14ac:dyDescent="0.3">
      <c r="A9" s="1" t="s">
        <v>175</v>
      </c>
      <c r="B9" s="11">
        <f>MIN(Daily!$S$7:$S$136)</f>
        <v>6</v>
      </c>
      <c r="C9" s="11">
        <v>6</v>
      </c>
      <c r="D9" s="1" t="str">
        <f>IF(B9=C9,"OK","Review")</f>
        <v>OK</v>
      </c>
      <c r="E9" s="1"/>
      <c r="F9" s="1"/>
      <c r="G9" s="1"/>
      <c r="H9" s="1"/>
    </row>
    <row r="10" spans="1:20" ht="19.95" customHeight="1" x14ac:dyDescent="0.3">
      <c r="A10" s="1" t="s">
        <v>176</v>
      </c>
      <c r="B10" s="11">
        <f>SUM(Holdings!H7:H12)+Holdings!G15/Holdings!G16</f>
        <v>0.99999999999999978</v>
      </c>
      <c r="C10" s="11">
        <v>1</v>
      </c>
      <c r="D10" s="1" t="str">
        <f>IF(ABS(B10-C10)&lt;0.000001,"OK","Review")</f>
        <v>OK</v>
      </c>
      <c r="E10" s="1"/>
      <c r="F10" s="1"/>
      <c r="G10" s="1"/>
      <c r="H10" s="1"/>
    </row>
    <row r="11" spans="1:20" ht="19.95" customHeight="1" x14ac:dyDescent="0.3">
      <c r="A11" s="1" t="s">
        <v>177</v>
      </c>
      <c r="B11" s="11">
        <f>Holdings!G19-SUM(Holdings!J7:L12)+SUMIFS(Ledger!$H$7:$H$1006,Ledger!$C$7:$C$1006,Portfolio!$C$5,Ledger!$D$7:$D$1006,"FEE",Ledger!$B$7:$B$1006,"&lt;="&amp;Portfolio!$J$5)+SUMIFS(Ledger!$I$7:$I$1006,Ledger!$C$7:$C$1006,Portfolio!$C$5,Ledger!$D$7:$D$1006,"DIVIDEND",Ledger!$B$7:$B$1006,"&lt;="&amp;Portfolio!$J$5)+SUMIFS(Ledger!$I$7:$I$1006,Ledger!$C$7:$C$1006,Portfolio!$C$5,Ledger!$D$7:$D$1006,"FEE",Ledger!$B$7:$B$1006,"&lt;="&amp;Portfolio!$J$5)</f>
        <v>1.4370016288012266E-10</v>
      </c>
      <c r="C11" s="11">
        <v>0</v>
      </c>
      <c r="D11" s="1" t="str">
        <f>IF(ABS(B11-C11)&lt;=0.01,"OK","Review")</f>
        <v>OK</v>
      </c>
      <c r="E11" s="1"/>
      <c r="F11" s="1"/>
      <c r="G11" s="1"/>
      <c r="H11" s="1"/>
    </row>
    <row r="12" spans="1:20" ht="19.95" customHeight="1" x14ac:dyDescent="0.3">
      <c r="A12" s="1"/>
      <c r="B12" s="1"/>
      <c r="C12" s="1"/>
      <c r="D12" s="1"/>
      <c r="E12" s="1"/>
      <c r="F12" s="1"/>
      <c r="G12" s="1"/>
      <c r="H12" s="1"/>
    </row>
    <row r="13" spans="1:20" ht="19.95" customHeight="1" x14ac:dyDescent="0.3">
      <c r="A13" s="1"/>
      <c r="B13" s="1"/>
      <c r="C13" s="1"/>
      <c r="D13" s="1"/>
      <c r="E13" s="1"/>
      <c r="F13" s="1"/>
      <c r="G13" s="1"/>
      <c r="H13" s="1"/>
    </row>
    <row r="14" spans="1:20" ht="19.95" customHeight="1" x14ac:dyDescent="0.3">
      <c r="A14" s="1"/>
      <c r="B14" s="1"/>
      <c r="C14" s="1"/>
      <c r="D14" s="1"/>
      <c r="E14" s="1"/>
      <c r="F14" s="1"/>
      <c r="G14" s="1"/>
      <c r="H14" s="1"/>
    </row>
    <row r="15" spans="1:20" ht="19.95" customHeight="1" x14ac:dyDescent="0.3">
      <c r="A15" s="1"/>
      <c r="B15" s="1"/>
      <c r="C15" s="1"/>
      <c r="D15" s="1"/>
      <c r="E15" s="1"/>
      <c r="F15" s="1"/>
      <c r="G15" s="1"/>
      <c r="H15" s="1"/>
    </row>
    <row r="16" spans="1:20" ht="19.95" customHeight="1" x14ac:dyDescent="0.3">
      <c r="A16" s="1"/>
      <c r="B16" s="1"/>
      <c r="C16" s="1"/>
      <c r="D16" s="1"/>
      <c r="E16" s="1"/>
      <c r="F16" s="1"/>
      <c r="G16" s="1"/>
      <c r="H16" s="1"/>
    </row>
    <row r="17" spans="1:8" ht="19.95" customHeight="1" x14ac:dyDescent="0.3">
      <c r="A17" s="1"/>
      <c r="B17" s="1"/>
      <c r="C17" s="1"/>
      <c r="D17" s="1"/>
      <c r="E17" s="1"/>
      <c r="F17" s="1"/>
      <c r="G17" s="1"/>
      <c r="H17" s="1"/>
    </row>
    <row r="18" spans="1:8" ht="19.95" customHeight="1" x14ac:dyDescent="0.3">
      <c r="A18" s="1"/>
      <c r="B18" s="1"/>
      <c r="C18" s="1"/>
      <c r="D18" s="1"/>
      <c r="E18" s="1"/>
      <c r="F18" s="1"/>
      <c r="G18" s="1"/>
      <c r="H18" s="1"/>
    </row>
    <row r="19" spans="1:8" ht="19.95" customHeight="1" x14ac:dyDescent="0.3">
      <c r="A19" s="1"/>
      <c r="B19" s="1"/>
      <c r="C19" s="1"/>
      <c r="D19" s="1"/>
      <c r="E19" s="1"/>
      <c r="F19" s="1"/>
      <c r="G19" s="1"/>
      <c r="H19" s="1"/>
    </row>
    <row r="20" spans="1:8" ht="19.95" customHeight="1" x14ac:dyDescent="0.3">
      <c r="A20" s="1"/>
      <c r="B20" s="1"/>
      <c r="C20" s="1"/>
      <c r="D20" s="1"/>
      <c r="E20" s="1"/>
      <c r="F20" s="1"/>
      <c r="G20" s="1"/>
      <c r="H20" s="1"/>
    </row>
  </sheetData>
  <conditionalFormatting sqref="D7:D11">
    <cfRule type="containsText" dxfId="50" priority="1" operator="containsText" text="Review"/>
  </conditionalFormatting>
  <pageMargins left="0.25" right="0.25" top="0.25" bottom="0.25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13C5A"/>
    <pageSetUpPr fitToPage="1"/>
  </sheetPr>
  <dimension ref="A1:T41"/>
  <sheetViews>
    <sheetView showGridLines="0" zoomScale="90" zoomScaleNormal="90" workbookViewId="0">
      <pane ySplit="6" topLeftCell="A7" activePane="bottomLeft" state="frozen"/>
      <selection pane="bottomLeft"/>
    </sheetView>
  </sheetViews>
  <sheetFormatPr defaultRowHeight="14.4" x14ac:dyDescent="0.3"/>
  <cols>
    <col min="1" max="1" width="25" customWidth="1"/>
    <col min="2" max="2" width="110" customWidth="1"/>
    <col min="3" max="10" width="13" customWidth="1"/>
  </cols>
  <sheetData>
    <row r="1" spans="1:2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20" ht="19.95" customHeight="1" x14ac:dyDescent="0.3">
      <c r="A2" s="2" t="s">
        <v>178</v>
      </c>
      <c r="B2" s="1"/>
      <c r="C2" s="1"/>
      <c r="D2" s="1"/>
      <c r="E2" s="1"/>
      <c r="F2" s="1"/>
      <c r="G2" s="1"/>
      <c r="H2" s="1"/>
      <c r="I2" s="1"/>
      <c r="J2" s="1"/>
    </row>
    <row r="3" spans="1:20" ht="19.9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9.95" customHeight="1" x14ac:dyDescent="0.3">
      <c r="A4" s="5" t="s">
        <v>179</v>
      </c>
      <c r="B4" s="1"/>
      <c r="C4" s="1"/>
      <c r="D4" s="1"/>
      <c r="E4" s="1"/>
      <c r="F4" s="1"/>
      <c r="G4" s="1"/>
      <c r="H4" s="1"/>
      <c r="I4" s="1"/>
      <c r="J4" s="1"/>
    </row>
    <row r="5" spans="1:20" ht="19.9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20" ht="28.95" customHeight="1" x14ac:dyDescent="0.3">
      <c r="A6" s="6" t="s">
        <v>180</v>
      </c>
      <c r="B6" s="6" t="s">
        <v>181</v>
      </c>
      <c r="C6" s="1"/>
      <c r="D6" s="1"/>
      <c r="E6" s="1"/>
      <c r="F6" s="1"/>
      <c r="G6" s="1"/>
      <c r="H6" s="1"/>
      <c r="I6" s="1"/>
      <c r="J6" s="1"/>
    </row>
    <row r="7" spans="1:20" ht="31.95" customHeight="1" x14ac:dyDescent="0.3">
      <c r="A7" s="1" t="s">
        <v>182</v>
      </c>
      <c r="B7" s="13" t="s">
        <v>183</v>
      </c>
      <c r="C7" s="1"/>
      <c r="D7" s="1"/>
      <c r="E7" s="1"/>
      <c r="F7" s="1"/>
      <c r="G7" s="1"/>
      <c r="H7" s="1"/>
      <c r="I7" s="1"/>
      <c r="J7" s="1"/>
    </row>
    <row r="8" spans="1:20" ht="31.95" customHeight="1" x14ac:dyDescent="0.3">
      <c r="A8" s="1" t="s">
        <v>184</v>
      </c>
      <c r="B8" s="13" t="s">
        <v>305</v>
      </c>
      <c r="C8" s="1"/>
      <c r="D8" s="1"/>
      <c r="E8" s="1"/>
      <c r="F8" s="1"/>
      <c r="G8" s="1"/>
      <c r="H8" s="1"/>
      <c r="I8" s="1"/>
      <c r="J8" s="1"/>
    </row>
    <row r="9" spans="1:20" ht="31.95" customHeight="1" x14ac:dyDescent="0.3">
      <c r="A9" s="1" t="s">
        <v>185</v>
      </c>
      <c r="B9" s="13" t="s">
        <v>186</v>
      </c>
      <c r="C9" s="1"/>
      <c r="D9" s="1"/>
      <c r="E9" s="1"/>
      <c r="F9" s="1"/>
      <c r="G9" s="1"/>
      <c r="H9" s="1"/>
      <c r="I9" s="1"/>
      <c r="J9" s="1"/>
    </row>
    <row r="10" spans="1:20" ht="31.95" customHeight="1" x14ac:dyDescent="0.3">
      <c r="A10" s="1" t="s">
        <v>187</v>
      </c>
      <c r="B10" s="13" t="s">
        <v>188</v>
      </c>
      <c r="C10" s="1"/>
      <c r="D10" s="1"/>
      <c r="E10" s="1"/>
      <c r="F10" s="1"/>
      <c r="G10" s="1"/>
      <c r="H10" s="1"/>
      <c r="I10" s="1"/>
      <c r="J10" s="1"/>
    </row>
    <row r="11" spans="1:20" ht="31.95" customHeight="1" x14ac:dyDescent="0.3">
      <c r="A11" s="1" t="s">
        <v>189</v>
      </c>
      <c r="B11" s="13" t="s">
        <v>190</v>
      </c>
      <c r="C11" s="1"/>
      <c r="D11" s="1"/>
      <c r="E11" s="1"/>
      <c r="F11" s="1"/>
      <c r="G11" s="1"/>
      <c r="H11" s="1"/>
      <c r="I11" s="1"/>
      <c r="J11" s="1"/>
    </row>
    <row r="12" spans="1:20" ht="31.95" customHeight="1" x14ac:dyDescent="0.3">
      <c r="A12" s="1" t="s">
        <v>191</v>
      </c>
      <c r="B12" s="13" t="s">
        <v>192</v>
      </c>
      <c r="C12" s="1"/>
      <c r="D12" s="1"/>
      <c r="E12" s="1"/>
      <c r="F12" s="1"/>
      <c r="G12" s="1"/>
      <c r="H12" s="1"/>
      <c r="I12" s="1"/>
      <c r="J12" s="1"/>
    </row>
    <row r="13" spans="1:20" ht="31.95" customHeight="1" x14ac:dyDescent="0.3">
      <c r="A13" s="1" t="s">
        <v>193</v>
      </c>
      <c r="B13" s="13" t="s">
        <v>306</v>
      </c>
      <c r="C13" s="1"/>
      <c r="D13" s="1"/>
      <c r="E13" s="1"/>
      <c r="F13" s="1"/>
      <c r="G13" s="1"/>
      <c r="H13" s="1"/>
      <c r="I13" s="1"/>
      <c r="J13" s="1"/>
    </row>
    <row r="14" spans="1:20" ht="31.95" customHeight="1" x14ac:dyDescent="0.3">
      <c r="A14" s="1" t="s">
        <v>194</v>
      </c>
      <c r="B14" s="13" t="s">
        <v>195</v>
      </c>
      <c r="C14" s="1"/>
      <c r="D14" s="1"/>
      <c r="E14" s="1"/>
      <c r="F14" s="1"/>
      <c r="G14" s="1"/>
      <c r="H14" s="1"/>
      <c r="I14" s="1"/>
      <c r="J14" s="1"/>
    </row>
    <row r="15" spans="1:20" ht="31.95" customHeight="1" x14ac:dyDescent="0.3">
      <c r="A15" s="1" t="s">
        <v>196</v>
      </c>
      <c r="B15" s="13" t="s">
        <v>197</v>
      </c>
      <c r="C15" s="1"/>
      <c r="D15" s="1"/>
      <c r="E15" s="1"/>
      <c r="F15" s="1"/>
      <c r="G15" s="1"/>
      <c r="H15" s="1"/>
      <c r="I15" s="1"/>
      <c r="J15" s="1"/>
    </row>
    <row r="16" spans="1:20" ht="31.95" customHeight="1" x14ac:dyDescent="0.3">
      <c r="A16" s="1" t="s">
        <v>198</v>
      </c>
      <c r="B16" s="13" t="s">
        <v>199</v>
      </c>
      <c r="C16" s="1"/>
      <c r="D16" s="1"/>
      <c r="E16" s="1"/>
      <c r="F16" s="1"/>
      <c r="G16" s="1"/>
      <c r="H16" s="1"/>
      <c r="I16" s="1"/>
      <c r="J16" s="1"/>
    </row>
    <row r="17" spans="1:10" ht="31.95" customHeight="1" x14ac:dyDescent="0.3">
      <c r="A17" s="1" t="s">
        <v>200</v>
      </c>
      <c r="B17" s="13" t="s">
        <v>201</v>
      </c>
      <c r="C17" s="1"/>
      <c r="D17" s="1"/>
      <c r="E17" s="1"/>
      <c r="F17" s="1"/>
      <c r="G17" s="1"/>
      <c r="H17" s="1"/>
      <c r="I17" s="1"/>
      <c r="J17" s="1"/>
    </row>
    <row r="18" spans="1:10" ht="31.95" customHeight="1" x14ac:dyDescent="0.3">
      <c r="A18" s="1" t="s">
        <v>44</v>
      </c>
      <c r="B18" s="13" t="s">
        <v>202</v>
      </c>
      <c r="C18" s="1"/>
      <c r="D18" s="1"/>
      <c r="E18" s="1"/>
      <c r="F18" s="1"/>
      <c r="G18" s="1"/>
      <c r="H18" s="1"/>
      <c r="I18" s="1"/>
      <c r="J18" s="1"/>
    </row>
    <row r="19" spans="1:10" ht="31.95" customHeight="1" x14ac:dyDescent="0.3">
      <c r="A19" s="1" t="s">
        <v>203</v>
      </c>
      <c r="B19" s="13" t="s">
        <v>204</v>
      </c>
      <c r="C19" s="1"/>
      <c r="D19" s="1"/>
      <c r="E19" s="1"/>
      <c r="F19" s="1"/>
      <c r="G19" s="1"/>
      <c r="H19" s="1"/>
      <c r="I19" s="1"/>
      <c r="J19" s="1"/>
    </row>
    <row r="20" spans="1:10" ht="31.95" customHeight="1" x14ac:dyDescent="0.3">
      <c r="A20" s="1" t="s">
        <v>144</v>
      </c>
      <c r="B20" s="13" t="s">
        <v>205</v>
      </c>
      <c r="C20" s="1"/>
      <c r="D20" s="1"/>
      <c r="E20" s="1"/>
      <c r="F20" s="1"/>
      <c r="G20" s="1"/>
      <c r="H20" s="1"/>
      <c r="I20" s="1"/>
      <c r="J20" s="1"/>
    </row>
    <row r="21" spans="1:10" ht="31.95" customHeight="1" x14ac:dyDescent="0.3">
      <c r="A21" s="1" t="s">
        <v>206</v>
      </c>
      <c r="B21" s="13" t="s">
        <v>207</v>
      </c>
      <c r="C21" s="1"/>
      <c r="D21" s="1"/>
      <c r="E21" s="1"/>
      <c r="F21" s="1"/>
      <c r="G21" s="1"/>
      <c r="H21" s="1"/>
      <c r="I21" s="1"/>
      <c r="J21" s="1"/>
    </row>
    <row r="22" spans="1:10" ht="31.95" customHeight="1" x14ac:dyDescent="0.3">
      <c r="A22" s="1" t="s">
        <v>208</v>
      </c>
      <c r="B22" s="13" t="s">
        <v>209</v>
      </c>
      <c r="C22" s="1"/>
      <c r="D22" s="1"/>
      <c r="E22" s="1"/>
      <c r="F22" s="1"/>
      <c r="G22" s="1"/>
      <c r="H22" s="1"/>
      <c r="I22" s="1"/>
      <c r="J22" s="1"/>
    </row>
    <row r="23" spans="1:10" ht="31.95" customHeight="1" x14ac:dyDescent="0.3">
      <c r="A23" s="1" t="s">
        <v>210</v>
      </c>
      <c r="B23" s="13" t="s">
        <v>211</v>
      </c>
      <c r="C23" s="1"/>
      <c r="D23" s="1"/>
      <c r="E23" s="1"/>
      <c r="F23" s="1"/>
      <c r="G23" s="1"/>
      <c r="H23" s="1"/>
      <c r="I23" s="1"/>
      <c r="J23" s="1"/>
    </row>
    <row r="24" spans="1:10" ht="31.95" customHeight="1" x14ac:dyDescent="0.3">
      <c r="A24" s="1" t="s">
        <v>212</v>
      </c>
      <c r="B24" s="13" t="s">
        <v>213</v>
      </c>
      <c r="C24" s="1"/>
      <c r="D24" s="1"/>
      <c r="E24" s="1"/>
      <c r="F24" s="1"/>
      <c r="G24" s="1"/>
      <c r="H24" s="1"/>
      <c r="I24" s="1"/>
      <c r="J24" s="1"/>
    </row>
    <row r="25" spans="1:10" ht="31.95" customHeight="1" x14ac:dyDescent="0.3">
      <c r="A25" s="1" t="s">
        <v>4</v>
      </c>
      <c r="B25" s="13" t="s">
        <v>214</v>
      </c>
      <c r="C25" s="1"/>
      <c r="D25" s="1"/>
      <c r="E25" s="1"/>
      <c r="F25" s="1"/>
      <c r="G25" s="1"/>
      <c r="H25" s="1"/>
      <c r="I25" s="1"/>
      <c r="J25" s="1"/>
    </row>
    <row r="26" spans="1:10" ht="31.95" customHeight="1" x14ac:dyDescent="0.3">
      <c r="A26" s="1" t="s">
        <v>41</v>
      </c>
      <c r="B26" s="13" t="s">
        <v>215</v>
      </c>
      <c r="C26" s="1"/>
      <c r="D26" s="1"/>
      <c r="E26" s="1"/>
      <c r="F26" s="1"/>
      <c r="G26" s="1"/>
      <c r="H26" s="1"/>
      <c r="I26" s="1"/>
      <c r="J26" s="1"/>
    </row>
    <row r="27" spans="1:10" ht="31.95" customHeight="1" x14ac:dyDescent="0.3">
      <c r="A27" s="1" t="s">
        <v>216</v>
      </c>
      <c r="B27" s="13" t="s">
        <v>217</v>
      </c>
      <c r="C27" s="1"/>
      <c r="D27" s="1"/>
      <c r="E27" s="1"/>
      <c r="F27" s="1"/>
      <c r="G27" s="1"/>
      <c r="H27" s="1"/>
      <c r="I27" s="1"/>
      <c r="J27" s="1"/>
    </row>
    <row r="28" spans="1:10" ht="31.95" customHeight="1" x14ac:dyDescent="0.3">
      <c r="A28" s="1" t="s">
        <v>218</v>
      </c>
      <c r="B28" s="13" t="s">
        <v>219</v>
      </c>
      <c r="C28" s="1"/>
      <c r="D28" s="1"/>
      <c r="E28" s="1"/>
      <c r="F28" s="1"/>
      <c r="G28" s="1"/>
      <c r="H28" s="1"/>
      <c r="I28" s="1"/>
      <c r="J28" s="1"/>
    </row>
    <row r="29" spans="1:10" ht="31.95" customHeight="1" x14ac:dyDescent="0.3">
      <c r="A29" s="1" t="s">
        <v>220</v>
      </c>
      <c r="B29" s="13" t="s">
        <v>221</v>
      </c>
      <c r="C29" s="1"/>
      <c r="D29" s="1"/>
      <c r="E29" s="1"/>
      <c r="F29" s="1"/>
      <c r="G29" s="1"/>
      <c r="H29" s="1"/>
      <c r="I29" s="1"/>
      <c r="J29" s="1"/>
    </row>
    <row r="30" spans="1:10" ht="31.95" customHeight="1" x14ac:dyDescent="0.3">
      <c r="A30" s="1" t="s">
        <v>222</v>
      </c>
      <c r="B30" s="13" t="s">
        <v>223</v>
      </c>
      <c r="C30" s="1"/>
      <c r="D30" s="1"/>
      <c r="E30" s="1"/>
      <c r="F30" s="1"/>
      <c r="G30" s="1"/>
      <c r="H30" s="1"/>
      <c r="I30" s="1"/>
      <c r="J30" s="1"/>
    </row>
    <row r="31" spans="1:10" ht="31.95" customHeight="1" x14ac:dyDescent="0.3">
      <c r="A31" s="1" t="s">
        <v>224</v>
      </c>
      <c r="B31" s="13" t="s">
        <v>225</v>
      </c>
      <c r="C31" s="1"/>
      <c r="D31" s="1"/>
      <c r="E31" s="1"/>
      <c r="F31" s="1"/>
      <c r="G31" s="1"/>
      <c r="H31" s="1"/>
      <c r="I31" s="1"/>
      <c r="J31" s="1"/>
    </row>
    <row r="32" spans="1:10" ht="31.95" customHeight="1" x14ac:dyDescent="0.3">
      <c r="A32" s="1" t="s">
        <v>226</v>
      </c>
      <c r="B32" s="13" t="s">
        <v>307</v>
      </c>
      <c r="C32" s="1"/>
      <c r="D32" s="1"/>
      <c r="E32" s="1"/>
      <c r="F32" s="1"/>
      <c r="G32" s="1"/>
      <c r="H32" s="1"/>
      <c r="I32" s="1"/>
      <c r="J32" s="1"/>
    </row>
    <row r="33" spans="1:10" ht="19.9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9.9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9.9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9.95" customHeight="1" x14ac:dyDescent="0.3">
      <c r="A36" s="1" t="s">
        <v>251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19.9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9.95" customHeight="1" x14ac:dyDescent="0.3">
      <c r="A38" s="1" t="s">
        <v>252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19.9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9.95" customHeight="1" x14ac:dyDescent="0.3">
      <c r="A40" s="1" t="s">
        <v>253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19.9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pageMargins left="0.25" right="0.25" top="0.25" bottom="0.25" header="0.3" footer="0.3"/>
  <pageSetup paperSize="8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EA1F-59F5-4DCC-80CA-960F5D592449}">
  <sheetPr>
    <tabColor rgb="FF213C5A"/>
    <pageSetUpPr fitToPage="1"/>
  </sheetPr>
  <dimension ref="A1:X42"/>
  <sheetViews>
    <sheetView showGridLines="0" tabSelected="1" topLeftCell="B1" zoomScaleNormal="100" workbookViewId="0">
      <selection activeCell="B2" sqref="B2:I2"/>
    </sheetView>
  </sheetViews>
  <sheetFormatPr defaultRowHeight="14.4" x14ac:dyDescent="0.3"/>
  <cols>
    <col min="1" max="1" width="20" hidden="1" customWidth="1"/>
    <col min="2" max="2" width="24" customWidth="1"/>
    <col min="3" max="3" width="8" customWidth="1"/>
    <col min="4" max="4" width="13" customWidth="1"/>
    <col min="5" max="5" width="12" customWidth="1"/>
    <col min="6" max="6" width="10" customWidth="1"/>
    <col min="7" max="7" width="19" customWidth="1"/>
    <col min="8" max="8" width="25" customWidth="1"/>
    <col min="9" max="9" width="32" customWidth="1"/>
    <col min="10" max="10" width="23" hidden="1" customWidth="1"/>
    <col min="11" max="11" width="14" hidden="1" customWidth="1"/>
    <col min="12" max="24" width="0" hidden="1" customWidth="1"/>
  </cols>
  <sheetData>
    <row r="1" spans="1:24" ht="24" customHeight="1" x14ac:dyDescent="0.3">
      <c r="A1" s="28"/>
      <c r="B1" s="33"/>
      <c r="C1" s="33"/>
      <c r="D1" s="33"/>
      <c r="E1" s="33"/>
      <c r="F1" s="33"/>
      <c r="G1" s="33"/>
      <c r="H1" s="33"/>
      <c r="I1" s="33"/>
      <c r="J1" s="28"/>
      <c r="K1" s="28"/>
    </row>
    <row r="2" spans="1:24" ht="36" customHeight="1" x14ac:dyDescent="0.3">
      <c r="A2" s="28"/>
      <c r="B2" s="169" t="s">
        <v>254</v>
      </c>
      <c r="C2" s="170"/>
      <c r="D2" s="170"/>
      <c r="E2" s="170"/>
      <c r="F2" s="170"/>
      <c r="G2" s="170"/>
      <c r="H2" s="170"/>
      <c r="I2" s="170"/>
      <c r="J2" s="28"/>
      <c r="K2" s="28"/>
      <c r="N2" t="str">
        <f>IF(COUNTIFS(WatchSettings[Instrument],"SYN_BANK",WatchSettings[Follow],"Yes")&gt;0,"SYN_BANK|","")&amp;IF(COUNTIFS(WatchSettings[Instrument],"SYN_BOND_ETF",WatchSettings[Follow],"Yes")&gt;0,"SYN_BOND_ETF|","")&amp;IF(COUNTIFS(WatchSettings[Instrument],"SYN_BROAD_ETF",WatchSettings[Follow],"Yes")&gt;0,"SYN_BROAD_ETF|","")&amp;IF(COUNTIFS(WatchSettings[Instrument],"SYN_HEALTH",WatchSettings[Follow],"Yes")&gt;0,"SYN_HEALTH|","")&amp;IF(COUNTIFS(WatchSettings[Instrument],"SYN_INDUSTRY",WatchSettings[Follow],"Yes")&gt;0,"SYN_INDUSTRY|","")&amp;IF(COUNTIFS(WatchSettings[Instrument],"SYN_TECH",WatchSettings[Follow],"Yes")&gt;0,"SYN_TECH|","")</f>
        <v>SYN_BANK|SYN_TECH|</v>
      </c>
    </row>
    <row r="3" spans="1:24" ht="28.05" customHeight="1" x14ac:dyDescent="0.3">
      <c r="A3" s="28"/>
      <c r="B3" s="34" t="s">
        <v>317</v>
      </c>
      <c r="C3" s="35"/>
      <c r="D3" s="34" t="s">
        <v>318</v>
      </c>
      <c r="E3" s="161" t="s">
        <v>398</v>
      </c>
      <c r="F3" s="34" t="s">
        <v>0</v>
      </c>
      <c r="G3" s="161" t="s">
        <v>323</v>
      </c>
      <c r="H3" s="161" t="s">
        <v>369</v>
      </c>
      <c r="I3" s="34" t="s">
        <v>319</v>
      </c>
      <c r="J3" s="28"/>
      <c r="K3" s="28"/>
    </row>
    <row r="4" spans="1:24" ht="24" customHeight="1" x14ac:dyDescent="0.3">
      <c r="A4" s="28"/>
      <c r="B4" s="36"/>
      <c r="C4" s="36"/>
      <c r="D4" s="36"/>
      <c r="E4" s="36"/>
      <c r="F4" s="36"/>
      <c r="G4" s="36"/>
      <c r="H4" s="36"/>
      <c r="I4" s="36"/>
      <c r="J4" s="28"/>
      <c r="K4" s="28"/>
    </row>
    <row r="5" spans="1:24" ht="24" customHeight="1" x14ac:dyDescent="0.3">
      <c r="A5" s="28"/>
      <c r="B5" s="37" t="s">
        <v>540</v>
      </c>
      <c r="C5" s="33"/>
      <c r="D5" s="33"/>
      <c r="E5" s="33"/>
      <c r="F5" s="33"/>
      <c r="G5" s="33"/>
      <c r="H5" s="33"/>
      <c r="I5" s="33"/>
      <c r="J5" s="28"/>
      <c r="K5" s="28"/>
    </row>
    <row r="6" spans="1:24" ht="24" customHeight="1" x14ac:dyDescent="0.3">
      <c r="A6" s="28"/>
      <c r="B6" s="33"/>
      <c r="C6" s="33"/>
      <c r="D6" s="33"/>
      <c r="E6" s="33"/>
      <c r="F6" s="33"/>
      <c r="G6" s="33"/>
      <c r="H6" s="33"/>
      <c r="I6" s="33"/>
      <c r="J6" s="28"/>
      <c r="K6" s="28"/>
    </row>
    <row r="7" spans="1:24" ht="36" customHeight="1" x14ac:dyDescent="0.3">
      <c r="A7" s="28" t="s">
        <v>11</v>
      </c>
      <c r="B7" s="38" t="s">
        <v>255</v>
      </c>
      <c r="C7" s="38" t="s">
        <v>227</v>
      </c>
      <c r="D7" s="38" t="s">
        <v>14</v>
      </c>
      <c r="E7" s="38" t="s">
        <v>229</v>
      </c>
      <c r="F7" s="38" t="s">
        <v>187</v>
      </c>
      <c r="G7" s="38" t="s">
        <v>256</v>
      </c>
      <c r="H7" s="38" t="s">
        <v>236</v>
      </c>
      <c r="I7" s="38" t="s">
        <v>228</v>
      </c>
      <c r="J7" s="32" t="s">
        <v>257</v>
      </c>
      <c r="K7" s="32" t="s">
        <v>258</v>
      </c>
      <c r="N7" t="s">
        <v>240</v>
      </c>
      <c r="O7" t="s">
        <v>241</v>
      </c>
      <c r="P7" t="s">
        <v>242</v>
      </c>
      <c r="Q7" t="s">
        <v>243</v>
      </c>
      <c r="R7" t="s">
        <v>244</v>
      </c>
      <c r="S7" t="s">
        <v>245</v>
      </c>
      <c r="T7" t="s">
        <v>246</v>
      </c>
      <c r="U7" t="s">
        <v>247</v>
      </c>
      <c r="V7" t="s">
        <v>248</v>
      </c>
      <c r="W7" t="s">
        <v>249</v>
      </c>
      <c r="X7" t="s">
        <v>295</v>
      </c>
    </row>
    <row r="8" spans="1:24" ht="37.950000000000003" customHeight="1" x14ac:dyDescent="0.3">
      <c r="A8" s="28" t="s">
        <v>46</v>
      </c>
      <c r="B8" s="39" t="str">
        <f>IFERROR(INDEX(DemoInstruments[Name],MATCH(A8,DemoInstruments[Instrument],0)),"Unknown stock")</f>
        <v>Demo Bank</v>
      </c>
      <c r="C8" s="40" t="s">
        <v>230</v>
      </c>
      <c r="D8" s="41">
        <f t="shared" ref="D8" si="0">IF(NOT(W8),"",IF(U8,Q8,IF(N8&gt;0,N8,"")))</f>
        <v>547.4307</v>
      </c>
      <c r="E8" s="42">
        <f>IFERROR(IF(ISNUMBER(D8),D8/INDEX(History!$B$135:$G$135,1,MATCH(A8,History!$B$6:$G$6,0))-1,""),"")</f>
        <v>-1.106072151304649E-2</v>
      </c>
      <c r="F8" s="43">
        <f>IF(W8,IF(C8="Yes",1,5),"")</f>
        <v>1</v>
      </c>
      <c r="G8" s="44">
        <f t="shared" ref="G8" si="1">IF(NOT(W8),"",IF(U8,S8,IF(P8&gt;0,P8,"")))</f>
        <v>46286.964533599537</v>
      </c>
      <c r="H8" s="45" t="str">
        <f t="shared" ref="H8" ca="1" si="2">IF(X8="Synthetic snapshot","Demo price",IF(X8="Follow change: refresh","Waiting for update",IF(X8="Fast quote unavailable","Using 5-min backup",IF(X8="Fast refresh overdue","1-min update overdue",IF(X8="Unknown demo instrument","Unknown stock code",IF(X8="Duplicate instrument","Duplicate stock",X8))))))</f>
        <v>Demo price</v>
      </c>
      <c r="I8" s="46" t="s">
        <v>231</v>
      </c>
      <c r="J8" s="29">
        <f>IF(NOT(W8),"",IF(U8,R8,IF(O8&gt;0,O8,"")))</f>
        <v>46283.645833333336</v>
      </c>
      <c r="K8" s="28" t="str">
        <f>IF(NOT(W8),"",IF(U8,"1-min",IF(N8&gt;0,"5-min","None")))</f>
        <v>1-min</v>
      </c>
      <c r="N8">
        <f>IFERROR(INDEX(QuoteData[Price],MATCH(A8,QuoteData[Instrument],0)),0)</f>
        <v>547.4307</v>
      </c>
      <c r="O8">
        <f>IFERROR(INDEX(QuoteData[ObservedAt],MATCH(A8,QuoteData[Instrument],0)),0)</f>
        <v>46283.645833333336</v>
      </c>
      <c r="P8">
        <f>IFERROR(INDEX(QuoteData[RefreshedAt],MATCH(A8,QuoteData[Instrument],0)),0)</f>
        <v>46286.964532418984</v>
      </c>
      <c r="Q8">
        <f>IFERROR(INDEX(FastQuoteData[Price],MATCH(A8,FastQuoteData[Instrument],0)),0)</f>
        <v>547.4307</v>
      </c>
      <c r="R8">
        <f>IFERROR(INDEX(FastQuoteData[ObservedAt],MATCH(A8,FastQuoteData[Instrument],0)),0)</f>
        <v>46283.645833333336</v>
      </c>
      <c r="S8">
        <f>IFERROR(INDEX(FastQuoteData[RefreshedAt],MATCH(A8,FastQuoteData[Instrument],0)),0)</f>
        <v>46286.964533599537</v>
      </c>
      <c r="T8" t="str">
        <f>IFERROR(INDEX(FastQuoteData[FollowSet],MATCH(A8,FastQuoteData[Instrument],0)),"")</f>
        <v>SYN_BANK|SYN_TECH|</v>
      </c>
      <c r="U8" t="b">
        <f t="shared" ref="U8:U13" si="3">AND(W8,C8="Yes",T8=FollowSelection,V8="OK",Q8&gt;0,OR(R8&gt;O8,AND(R8=O8,S8&gt;=P8)))</f>
        <v>1</v>
      </c>
      <c r="V8" t="str">
        <f>IFERROR(INDEX(FastQuoteData[Status],MATCH(A8,FastQuoteData[Instrument],0)),"Missing")</f>
        <v>OK</v>
      </c>
      <c r="W8" t="b">
        <f>AND(COUNTIF(DemoInstruments[Instrument],A8)=1,COUNTIF(WatchSettings[Instrument],A8)=1,OR(C8="Yes",C8="No"))</f>
        <v>1</v>
      </c>
      <c r="X8" t="str">
        <f ca="1">IF(COUNTIF(DemoInstruments[Instrument],A8)&lt;&gt;1,"Unknown demo instrument",IF(COUNTIF(WatchSettings[Instrument],A8)&lt;&gt;1,"Duplicate instrument",IF(NOT(OR(C8="Yes",C8="No")),"Choose Yes/No",IF(NOT(ISNUMBER(D8)),"Quote unavailable",IF(AND(C8="Yes",T8&lt;&gt;FollowSelection),"Follow change: refresh",IF(AND(C8="Yes",V8&lt;&gt;"OK"),"Fast quote unavailable",IF(AND(C8="Yes",(NOW()-S8)*1440&gt;2),"Fast refresh overdue",IF((NOW()-G8)*1440&gt;IF(C8="Yes",2,6),"Refresh overdue","Synthetic snapshot"))))))))</f>
        <v>Synthetic snapshot</v>
      </c>
    </row>
    <row r="9" spans="1:24" ht="37.950000000000003" customHeight="1" x14ac:dyDescent="0.3">
      <c r="A9" s="28" t="s">
        <v>49</v>
      </c>
      <c r="B9" s="47" t="str">
        <f>IFERROR(INDEX(DemoInstruments[Name],MATCH(A9,DemoInstruments[Instrument],0)),"Unknown stock")</f>
        <v>Demo Technology</v>
      </c>
      <c r="C9" s="48" t="s">
        <v>230</v>
      </c>
      <c r="D9" s="49">
        <f>IF(NOT(W9),"",IF(U9,Q9,IF(N9&gt;0,N9,"")))</f>
        <v>522.94749999999999</v>
      </c>
      <c r="E9" s="50">
        <f>IFERROR(IF(ISNUMBER(D9),D9/INDEX(History!$B$135:$G$135,1,MATCH(A9,History!$B$6:$G$6,0))-1,""),"")</f>
        <v>-1.2518295265522394E-2</v>
      </c>
      <c r="F9" s="51">
        <f>IF(W9,IF(C9="Yes",1,5),"")</f>
        <v>1</v>
      </c>
      <c r="G9" s="52">
        <f>IF(NOT(W9),"",IF(U9,S9,IF(P9&gt;0,P9,"")))</f>
        <v>46286.964533599537</v>
      </c>
      <c r="H9" s="53" t="str">
        <f ca="1">IF(X9="Synthetic snapshot","Demo price",IF(X9="Follow change: refresh","Waiting for update",IF(X9="Fast quote unavailable","Using 5-min backup",IF(X9="Fast refresh overdue","1-min update overdue",IF(X9="Unknown demo instrument","Unknown stock code",IF(X9="Duplicate instrument","Duplicate stock",X9))))))</f>
        <v>Demo price</v>
      </c>
      <c r="I9" s="54" t="s">
        <v>231</v>
      </c>
      <c r="J9" s="29">
        <f>IF(NOT(W9),"",IF(U9,R9,IF(O9&gt;0,O9,"")))</f>
        <v>46283.645833333336</v>
      </c>
      <c r="K9" s="28" t="str">
        <f>IF(NOT(W9),"",IF(U9,"1-min",IF(N9&gt;0,"5-min","None")))</f>
        <v>1-min</v>
      </c>
      <c r="N9">
        <f>IFERROR(INDEX(QuoteData[Price],MATCH(A9,QuoteData[Instrument],0)),0)</f>
        <v>522.94749999999999</v>
      </c>
      <c r="O9">
        <f>IFERROR(INDEX(QuoteData[ObservedAt],MATCH(A9,QuoteData[Instrument],0)),0)</f>
        <v>46283.645833333336</v>
      </c>
      <c r="P9">
        <f>IFERROR(INDEX(QuoteData[RefreshedAt],MATCH(A9,QuoteData[Instrument],0)),0)</f>
        <v>46286.964532418984</v>
      </c>
      <c r="Q9">
        <f>IFERROR(INDEX(FastQuoteData[Price],MATCH(A9,FastQuoteData[Instrument],0)),0)</f>
        <v>522.94749999999999</v>
      </c>
      <c r="R9">
        <f>IFERROR(INDEX(FastQuoteData[ObservedAt],MATCH(A9,FastQuoteData[Instrument],0)),0)</f>
        <v>46283.645833333336</v>
      </c>
      <c r="S9">
        <f>IFERROR(INDEX(FastQuoteData[RefreshedAt],MATCH(A9,FastQuoteData[Instrument],0)),0)</f>
        <v>46286.964533599537</v>
      </c>
      <c r="T9" t="str">
        <f>IFERROR(INDEX(FastQuoteData[FollowSet],MATCH(A9,FastQuoteData[Instrument],0)),"")</f>
        <v>SYN_BANK|SYN_TECH|</v>
      </c>
      <c r="U9" t="b">
        <f t="shared" si="3"/>
        <v>1</v>
      </c>
      <c r="V9" t="str">
        <f>IFERROR(INDEX(FastQuoteData[Status],MATCH(A9,FastQuoteData[Instrument],0)),"Missing")</f>
        <v>OK</v>
      </c>
      <c r="W9" t="b">
        <f>AND(COUNTIF(DemoInstruments[Instrument],A9)=1,COUNTIF(WatchSettings[Instrument],A9)=1,OR(C9="Yes",C9="No"))</f>
        <v>1</v>
      </c>
      <c r="X9" t="str">
        <f ca="1">IF(COUNTIF(DemoInstruments[Instrument],A9)&lt;&gt;1,"Unknown demo instrument",IF(COUNTIF(WatchSettings[Instrument],A9)&lt;&gt;1,"Duplicate instrument",IF(NOT(OR(C9="Yes",C9="No")),"Choose Yes/No",IF(NOT(ISNUMBER(D9)),"Quote unavailable",IF(AND(C9="Yes",T9&lt;&gt;FollowSelection),"Follow change: refresh",IF(AND(C9="Yes",V9&lt;&gt;"OK"),"Fast quote unavailable",IF(AND(C9="Yes",(NOW()-S9)*1440&gt;2),"Fast refresh overdue",IF((NOW()-G9)*1440&gt;IF(C9="Yes",2,6),"Refresh overdue","Synthetic snapshot"))))))))</f>
        <v>Synthetic snapshot</v>
      </c>
    </row>
    <row r="10" spans="1:24" ht="37.950000000000003" customHeight="1" x14ac:dyDescent="0.3">
      <c r="A10" s="28" t="s">
        <v>52</v>
      </c>
      <c r="B10" s="55" t="str">
        <f>IFERROR(INDEX(DemoInstruments[Name],MATCH(A10,DemoInstruments[Instrument],0)),"Unknown stock")</f>
        <v>Demo Healthcare</v>
      </c>
      <c r="C10" s="48" t="s">
        <v>232</v>
      </c>
      <c r="D10" s="56">
        <f>IF(NOT(W10),"",IF(U10,Q10,IF(N10&gt;0,N10,"")))</f>
        <v>859.55989999999997</v>
      </c>
      <c r="E10" s="57">
        <f>IFERROR(IF(ISNUMBER(D10),D10/INDEX(History!$B$135:$G$135,1,MATCH(A10,History!$B$6:$G$6,0))-1,""),"")</f>
        <v>-7.6472222177326188E-3</v>
      </c>
      <c r="F10" s="58">
        <f t="shared" ref="F10" si="4">IF(W10,IF(C10="Yes",1,5),"")</f>
        <v>5</v>
      </c>
      <c r="G10" s="59">
        <f>IF(NOT(W10),"",IF(U10,S10,IF(P10&gt;0,P10,"")))</f>
        <v>46286.964532418984</v>
      </c>
      <c r="H10" s="60" t="str">
        <f ca="1">IF(X10="Synthetic snapshot","Demo price",IF(X10="Follow change: refresh","Waiting for update",IF(X10="Fast quote unavailable","Using 5-min backup",IF(X10="Fast refresh overdue","1-min update overdue",IF(X10="Unknown demo instrument","Unknown stock code",IF(X10="Duplicate instrument","Duplicate stock",X10))))))</f>
        <v>Demo price</v>
      </c>
      <c r="I10" s="54"/>
      <c r="J10" s="29">
        <f t="shared" ref="J10" si="5">IF(NOT(W10),"",IF(U10,R10,IF(O10&gt;0,O10,"")))</f>
        <v>46283.645833333336</v>
      </c>
      <c r="K10" s="28" t="str">
        <f>IF(NOT(W10),"",IF(U10,"1-min",IF(N10&gt;0,"5-min","None")))</f>
        <v>5-min</v>
      </c>
      <c r="N10">
        <f>IFERROR(INDEX(QuoteData[Price],MATCH(A10,QuoteData[Instrument],0)),0)</f>
        <v>859.55989999999997</v>
      </c>
      <c r="O10">
        <f>IFERROR(INDEX(QuoteData[ObservedAt],MATCH(A10,QuoteData[Instrument],0)),0)</f>
        <v>46283.645833333336</v>
      </c>
      <c r="P10">
        <f>IFERROR(INDEX(QuoteData[RefreshedAt],MATCH(A10,QuoteData[Instrument],0)),0)</f>
        <v>46286.964532418984</v>
      </c>
      <c r="Q10">
        <f>IFERROR(INDEX(FastQuoteData[Price],MATCH(A10,FastQuoteData[Instrument],0)),0)</f>
        <v>0</v>
      </c>
      <c r="R10">
        <f>IFERROR(INDEX(FastQuoteData[ObservedAt],MATCH(A10,FastQuoteData[Instrument],0)),0)</f>
        <v>0</v>
      </c>
      <c r="S10">
        <f>IFERROR(INDEX(FastQuoteData[RefreshedAt],MATCH(A10,FastQuoteData[Instrument],0)),0)</f>
        <v>0</v>
      </c>
      <c r="T10" t="str">
        <f>IFERROR(INDEX(FastQuoteData[FollowSet],MATCH(A10,FastQuoteData[Instrument],0)),"")</f>
        <v/>
      </c>
      <c r="U10" t="b">
        <f t="shared" si="3"/>
        <v>0</v>
      </c>
      <c r="V10" t="str">
        <f>IFERROR(INDEX(FastQuoteData[Status],MATCH(A10,FastQuoteData[Instrument],0)),"Missing")</f>
        <v>Missing</v>
      </c>
      <c r="W10" t="b">
        <f>AND(COUNTIF(DemoInstruments[Instrument],A10)=1,COUNTIF(WatchSettings[Instrument],A10)=1,OR(C10="Yes",C10="No"))</f>
        <v>1</v>
      </c>
      <c r="X10" t="str">
        <f ca="1">IF(COUNTIF(DemoInstruments[Instrument],A10)&lt;&gt;1,"Unknown demo instrument",IF(COUNTIF(WatchSettings[Instrument],A10)&lt;&gt;1,"Duplicate instrument",IF(NOT(OR(C10="Yes",C10="No")),"Choose Yes/No",IF(NOT(ISNUMBER(D10)),"Quote unavailable",IF(AND(C10="Yes",T10&lt;&gt;FollowSelection),"Follow change: refresh",IF(AND(C10="Yes",V10&lt;&gt;"OK"),"Fast quote unavailable",IF(AND(C10="Yes",(NOW()-S10)*1440&gt;2),"Fast refresh overdue",IF((NOW()-G10)*1440&gt;IF(C10="Yes",2,6),"Refresh overdue","Synthetic snapshot"))))))))</f>
        <v>Synthetic snapshot</v>
      </c>
    </row>
    <row r="11" spans="1:24" ht="37.950000000000003" customHeight="1" x14ac:dyDescent="0.3">
      <c r="A11" s="28" t="s">
        <v>55</v>
      </c>
      <c r="B11" s="47" t="str">
        <f>IFERROR(INDEX(DemoInstruments[Name],MATCH(A11,DemoInstruments[Instrument],0)),"Unknown stock")</f>
        <v>Demo Industry</v>
      </c>
      <c r="C11" s="48" t="s">
        <v>232</v>
      </c>
      <c r="D11" s="49">
        <f>IF(NOT(W11),"",IF(U11,Q11,IF(N11&gt;0,N11,"")))</f>
        <v>453.3229</v>
      </c>
      <c r="E11" s="50">
        <f>IFERROR(IF(ISNUMBER(D11),D11/INDEX(History!$B$135:$G$135,1,MATCH(A11,History!$B$6:$G$6,0))-1,""),"")</f>
        <v>-1.4740116873347753E-2</v>
      </c>
      <c r="F11" s="51">
        <f>IF(W11,IF(C11="Yes",1,5),"")</f>
        <v>5</v>
      </c>
      <c r="G11" s="52">
        <f>IF(NOT(W11),"",IF(U11,S11,IF(P11&gt;0,P11,"")))</f>
        <v>46286.964532418984</v>
      </c>
      <c r="H11" s="53" t="str">
        <f ca="1">IF(X11="Synthetic snapshot","Demo price",IF(X11="Follow change: refresh","Waiting for update",IF(X11="Fast quote unavailable","Using 5-min backup",IF(X11="Fast refresh overdue","1-min update overdue",IF(X11="Unknown demo instrument","Unknown stock code",IF(X11="Duplicate instrument","Duplicate stock",X11))))))</f>
        <v>Demo price</v>
      </c>
      <c r="I11" s="54"/>
      <c r="J11" s="29">
        <f>IF(NOT(W11),"",IF(U11,R11,IF(O11&gt;0,O11,"")))</f>
        <v>46283.645833333336</v>
      </c>
      <c r="K11" s="28" t="str">
        <f t="shared" ref="K11" si="6">IF(NOT(W11),"",IF(U11,"1-min",IF(N11&gt;0,"5-min","None")))</f>
        <v>5-min</v>
      </c>
      <c r="N11">
        <f>IFERROR(INDEX(QuoteData[Price],MATCH(A11,QuoteData[Instrument],0)),0)</f>
        <v>453.3229</v>
      </c>
      <c r="O11">
        <f>IFERROR(INDEX(QuoteData[ObservedAt],MATCH(A11,QuoteData[Instrument],0)),0)</f>
        <v>46283.645833333336</v>
      </c>
      <c r="P11">
        <f>IFERROR(INDEX(QuoteData[RefreshedAt],MATCH(A11,QuoteData[Instrument],0)),0)</f>
        <v>46286.964532418984</v>
      </c>
      <c r="Q11">
        <f>IFERROR(INDEX(FastQuoteData[Price],MATCH(A11,FastQuoteData[Instrument],0)),0)</f>
        <v>0</v>
      </c>
      <c r="R11">
        <f>IFERROR(INDEX(FastQuoteData[ObservedAt],MATCH(A11,FastQuoteData[Instrument],0)),0)</f>
        <v>0</v>
      </c>
      <c r="S11">
        <f>IFERROR(INDEX(FastQuoteData[RefreshedAt],MATCH(A11,FastQuoteData[Instrument],0)),0)</f>
        <v>0</v>
      </c>
      <c r="T11" t="str">
        <f>IFERROR(INDEX(FastQuoteData[FollowSet],MATCH(A11,FastQuoteData[Instrument],0)),"")</f>
        <v/>
      </c>
      <c r="U11" t="b">
        <f t="shared" si="3"/>
        <v>0</v>
      </c>
      <c r="V11" t="str">
        <f>IFERROR(INDEX(FastQuoteData[Status],MATCH(A11,FastQuoteData[Instrument],0)),"Missing")</f>
        <v>Missing</v>
      </c>
      <c r="W11" t="b">
        <f>AND(COUNTIF(DemoInstruments[Instrument],A11)=1,COUNTIF(WatchSettings[Instrument],A11)=1,OR(C11="Yes",C11="No"))</f>
        <v>1</v>
      </c>
      <c r="X11" t="str">
        <f ca="1">IF(COUNTIF(DemoInstruments[Instrument],A11)&lt;&gt;1,"Unknown demo instrument",IF(COUNTIF(WatchSettings[Instrument],A11)&lt;&gt;1,"Duplicate instrument",IF(NOT(OR(C11="Yes",C11="No")),"Choose Yes/No",IF(NOT(ISNUMBER(D11)),"Quote unavailable",IF(AND(C11="Yes",T11&lt;&gt;FollowSelection),"Follow change: refresh",IF(AND(C11="Yes",V11&lt;&gt;"OK"),"Fast quote unavailable",IF(AND(C11="Yes",(NOW()-S11)*1440&gt;2),"Fast refresh overdue",IF((NOW()-G11)*1440&gt;IF(C11="Yes",2,6),"Refresh overdue","Synthetic snapshot"))))))))</f>
        <v>Synthetic snapshot</v>
      </c>
    </row>
    <row r="12" spans="1:24" ht="37.950000000000003" customHeight="1" x14ac:dyDescent="0.3">
      <c r="A12" s="28" t="s">
        <v>58</v>
      </c>
      <c r="B12" s="55" t="str">
        <f>IFERROR(INDEX(DemoInstruments[Name],MATCH(A12,DemoInstruments[Instrument],0)),"Unknown stock")</f>
        <v>Demo Broad ETF</v>
      </c>
      <c r="C12" s="48" t="s">
        <v>232</v>
      </c>
      <c r="D12" s="56">
        <f>IF(NOT(W12),"",IF(U12,Q12,IF(N12&gt;0,N12,"")))</f>
        <v>256.74239999999998</v>
      </c>
      <c r="E12" s="57">
        <f>IFERROR(IF(ISNUMBER(D12),D12/INDEX(History!$B$135:$G$135,1,MATCH(A12,History!$B$6:$G$6,0))-1,""),"")</f>
        <v>-4.9874180955419289E-3</v>
      </c>
      <c r="F12" s="58">
        <f>IF(W12,IF(C12="Yes",1,5),"")</f>
        <v>5</v>
      </c>
      <c r="G12" s="59">
        <f>IF(NOT(W12),"",IF(U12,S12,IF(P12&gt;0,P12,"")))</f>
        <v>46286.964532418984</v>
      </c>
      <c r="H12" s="60" t="str">
        <f ca="1">IF(X12="Synthetic snapshot","Demo price",IF(X12="Follow change: refresh","Waiting for update",IF(X12="Fast quote unavailable","Using 5-min backup",IF(X12="Fast refresh overdue","1-min update overdue",IF(X12="Unknown demo instrument","Unknown stock code",IF(X12="Duplicate instrument","Duplicate stock",X12))))))</f>
        <v>Demo price</v>
      </c>
      <c r="I12" s="54"/>
      <c r="J12" s="29">
        <f>IF(NOT(W12),"",IF(U12,R12,IF(O12&gt;0,O12,"")))</f>
        <v>46283.645833333336</v>
      </c>
      <c r="K12" s="28" t="str">
        <f>IF(NOT(W12),"",IF(U12,"1-min",IF(N12&gt;0,"5-min","None")))</f>
        <v>5-min</v>
      </c>
      <c r="N12">
        <f>IFERROR(INDEX(QuoteData[Price],MATCH(A12,QuoteData[Instrument],0)),0)</f>
        <v>256.74239999999998</v>
      </c>
      <c r="O12">
        <f>IFERROR(INDEX(QuoteData[ObservedAt],MATCH(A12,QuoteData[Instrument],0)),0)</f>
        <v>46283.645833333336</v>
      </c>
      <c r="P12">
        <f>IFERROR(INDEX(QuoteData[RefreshedAt],MATCH(A12,QuoteData[Instrument],0)),0)</f>
        <v>46286.964532418984</v>
      </c>
      <c r="Q12">
        <f>IFERROR(INDEX(FastQuoteData[Price],MATCH(A12,FastQuoteData[Instrument],0)),0)</f>
        <v>0</v>
      </c>
      <c r="R12">
        <f>IFERROR(INDEX(FastQuoteData[ObservedAt],MATCH(A12,FastQuoteData[Instrument],0)),0)</f>
        <v>0</v>
      </c>
      <c r="S12">
        <f>IFERROR(INDEX(FastQuoteData[RefreshedAt],MATCH(A12,FastQuoteData[Instrument],0)),0)</f>
        <v>0</v>
      </c>
      <c r="T12" t="str">
        <f>IFERROR(INDEX(FastQuoteData[FollowSet],MATCH(A12,FastQuoteData[Instrument],0)),"")</f>
        <v/>
      </c>
      <c r="U12" t="b">
        <f t="shared" si="3"/>
        <v>0</v>
      </c>
      <c r="V12" t="str">
        <f>IFERROR(INDEX(FastQuoteData[Status],MATCH(A12,FastQuoteData[Instrument],0)),"Missing")</f>
        <v>Missing</v>
      </c>
      <c r="W12" t="b">
        <f>AND(COUNTIF(DemoInstruments[Instrument],A12)=1,COUNTIF(WatchSettings[Instrument],A12)=1,OR(C12="Yes",C12="No"))</f>
        <v>1</v>
      </c>
      <c r="X12" t="str">
        <f ca="1">IF(COUNTIF(DemoInstruments[Instrument],A12)&lt;&gt;1,"Unknown demo instrument",IF(COUNTIF(WatchSettings[Instrument],A12)&lt;&gt;1,"Duplicate instrument",IF(NOT(OR(C12="Yes",C12="No")),"Choose Yes/No",IF(NOT(ISNUMBER(D12)),"Quote unavailable",IF(AND(C12="Yes",T12&lt;&gt;FollowSelection),"Follow change: refresh",IF(AND(C12="Yes",V12&lt;&gt;"OK"),"Fast quote unavailable",IF(AND(C12="Yes",(NOW()-S12)*1440&gt;2),"Fast refresh overdue",IF((NOW()-G12)*1440&gt;IF(C12="Yes",2,6),"Refresh overdue","Synthetic snapshot"))))))))</f>
        <v>Synthetic snapshot</v>
      </c>
    </row>
    <row r="13" spans="1:24" ht="37.950000000000003" customHeight="1" x14ac:dyDescent="0.3">
      <c r="A13" s="28" t="s">
        <v>61</v>
      </c>
      <c r="B13" s="61" t="str">
        <f>IFERROR(INDEX(DemoInstruments[Name],MATCH(A13,DemoInstruments[Instrument],0)),"Unknown stock")</f>
        <v>Demo Bond ETF</v>
      </c>
      <c r="C13" s="62" t="s">
        <v>232</v>
      </c>
      <c r="D13" s="63">
        <f>IF(NOT(W13),"",IF(U13,Q13,IF(N13&gt;0,N13,"")))</f>
        <v>103.68210000000001</v>
      </c>
      <c r="E13" s="64">
        <f>IFERROR(IF(ISNUMBER(D13),D13/INDEX(History!$B$135:$G$135,1,MATCH(A13,History!$B$6:$G$6,0))-1,""),"")</f>
        <v>-6.4193575437565542E-4</v>
      </c>
      <c r="F13" s="65">
        <f>IF(W13,IF(C13="Yes",1,5),"")</f>
        <v>5</v>
      </c>
      <c r="G13" s="66">
        <f>IF(NOT(W13),"",IF(U13,S13,IF(P13&gt;0,P13,"")))</f>
        <v>46286.964532418984</v>
      </c>
      <c r="H13" s="67" t="str">
        <f ca="1">IF(X13="Synthetic snapshot","Demo price",IF(X13="Follow change: refresh","Waiting for update",IF(X13="Fast quote unavailable","Using 5-min backup",IF(X13="Fast refresh overdue","1-min update overdue",IF(X13="Unknown demo instrument","Unknown stock code",IF(X13="Duplicate instrument","Duplicate stock",X13))))))</f>
        <v>Demo price</v>
      </c>
      <c r="I13" s="68"/>
      <c r="J13" s="31">
        <f>IF(NOT(W13),"",IF(U13,R13,IF(O13&gt;0,O13,"")))</f>
        <v>46283.645833333336</v>
      </c>
      <c r="K13" s="30" t="str">
        <f>IF(NOT(W13),"",IF(U13,"1-min",IF(N13&gt;0,"5-min","None")))</f>
        <v>5-min</v>
      </c>
      <c r="N13">
        <f>IFERROR(INDEX(QuoteData[Price],MATCH(A13,QuoteData[Instrument],0)),0)</f>
        <v>103.68210000000001</v>
      </c>
      <c r="O13">
        <f>IFERROR(INDEX(QuoteData[ObservedAt],MATCH(A13,QuoteData[Instrument],0)),0)</f>
        <v>46283.645833333336</v>
      </c>
      <c r="P13">
        <f>IFERROR(INDEX(QuoteData[RefreshedAt],MATCH(A13,QuoteData[Instrument],0)),0)</f>
        <v>46286.964532418984</v>
      </c>
      <c r="Q13">
        <f>IFERROR(INDEX(FastQuoteData[Price],MATCH(A13,FastQuoteData[Instrument],0)),0)</f>
        <v>0</v>
      </c>
      <c r="R13">
        <f>IFERROR(INDEX(FastQuoteData[ObservedAt],MATCH(A13,FastQuoteData[Instrument],0)),0)</f>
        <v>0</v>
      </c>
      <c r="S13">
        <f>IFERROR(INDEX(FastQuoteData[RefreshedAt],MATCH(A13,FastQuoteData[Instrument],0)),0)</f>
        <v>0</v>
      </c>
      <c r="T13" t="str">
        <f>IFERROR(INDEX(FastQuoteData[FollowSet],MATCH(A13,FastQuoteData[Instrument],0)),"")</f>
        <v/>
      </c>
      <c r="U13" t="b">
        <f t="shared" si="3"/>
        <v>0</v>
      </c>
      <c r="V13" t="str">
        <f>IFERROR(INDEX(FastQuoteData[Status],MATCH(A13,FastQuoteData[Instrument],0)),"Missing")</f>
        <v>Missing</v>
      </c>
      <c r="W13" t="b">
        <f>AND(COUNTIF(DemoInstruments[Instrument],A13)=1,COUNTIF(WatchSettings[Instrument],A13)=1,OR(C13="Yes",C13="No"))</f>
        <v>1</v>
      </c>
      <c r="X13" t="str">
        <f ca="1">IF(COUNTIF(DemoInstruments[Instrument],A13)&lt;&gt;1,"Unknown demo instrument",IF(COUNTIF(WatchSettings[Instrument],A13)&lt;&gt;1,"Duplicate instrument",IF(NOT(OR(C13="Yes",C13="No")),"Choose Yes/No",IF(NOT(ISNUMBER(D13)),"Quote unavailable",IF(AND(C13="Yes",T13&lt;&gt;FollowSelection),"Follow change: refresh",IF(AND(C13="Yes",V13&lt;&gt;"OK"),"Fast quote unavailable",IF(AND(C13="Yes",(NOW()-S13)*1440&gt;2),"Fast refresh overdue",IF((NOW()-G13)*1440&gt;IF(C13="Yes",2,6),"Refresh overdue","Synthetic snapshot"))))))))</f>
        <v>Synthetic snapshot</v>
      </c>
    </row>
    <row r="14" spans="1:24" ht="24" customHeight="1" x14ac:dyDescent="0.3">
      <c r="A14" s="28"/>
      <c r="B14" s="33"/>
      <c r="C14" s="33"/>
      <c r="D14" s="33"/>
      <c r="E14" s="33"/>
      <c r="F14" s="33"/>
      <c r="G14" s="33"/>
      <c r="H14" s="33"/>
      <c r="I14" s="33"/>
      <c r="J14" s="28"/>
      <c r="K14" s="28"/>
    </row>
    <row r="15" spans="1:24" ht="24" customHeight="1" x14ac:dyDescent="0.3">
      <c r="A15" s="28"/>
      <c r="B15" s="69" t="str">
        <f>COUNTIF(WatchSettings[Follow],"Yes")&amp;" followed (1 min) | "&amp;COUNTIF(WatchSettings[Follow],"No")&amp;" others (5 min)"</f>
        <v>2 followed (1 min) | 4 others (5 min)</v>
      </c>
      <c r="C15" s="33"/>
      <c r="D15" s="33"/>
      <c r="E15" s="33"/>
      <c r="F15" s="33"/>
      <c r="G15" s="33"/>
      <c r="H15" s="33"/>
      <c r="I15" s="33"/>
      <c r="J15" s="28"/>
      <c r="K15" s="28"/>
    </row>
    <row r="16" spans="1:24" ht="24" customHeight="1" x14ac:dyDescent="0.3">
      <c r="A16" s="28"/>
      <c r="B16" s="33"/>
      <c r="C16" s="33"/>
      <c r="D16" s="33"/>
      <c r="E16" s="33"/>
      <c r="F16" s="33"/>
      <c r="G16" s="33"/>
      <c r="H16" s="33"/>
      <c r="I16" s="33"/>
      <c r="J16" s="28"/>
      <c r="K16" s="28"/>
    </row>
    <row r="17" spans="1:11" ht="24" customHeight="1" x14ac:dyDescent="0.3">
      <c r="A17" s="28"/>
      <c r="B17" s="33" t="s">
        <v>259</v>
      </c>
      <c r="C17" s="33"/>
      <c r="D17" s="33"/>
      <c r="E17" s="33"/>
      <c r="F17" s="33"/>
      <c r="G17" s="33"/>
      <c r="H17" s="33"/>
      <c r="I17" s="33"/>
      <c r="J17" s="28"/>
      <c r="K17" s="28"/>
    </row>
    <row r="18" spans="1:11" ht="24" customHeight="1" x14ac:dyDescent="0.3">
      <c r="A18" s="28"/>
      <c r="B18" s="33" t="s">
        <v>260</v>
      </c>
      <c r="C18" s="33"/>
      <c r="D18" s="33"/>
      <c r="E18" s="33"/>
      <c r="F18" s="33"/>
      <c r="G18" s="33"/>
      <c r="H18" s="33"/>
      <c r="I18" s="33"/>
      <c r="J18" s="28"/>
      <c r="K18" s="28"/>
    </row>
    <row r="19" spans="1:11" ht="24" customHeight="1" x14ac:dyDescent="0.3">
      <c r="A19" s="28"/>
      <c r="B19" s="33"/>
      <c r="C19" s="33"/>
      <c r="D19" s="33"/>
      <c r="E19" s="33"/>
      <c r="F19" s="33"/>
      <c r="G19" s="33"/>
      <c r="H19" s="33"/>
      <c r="I19" s="33"/>
      <c r="J19" s="28"/>
      <c r="K19" s="28"/>
    </row>
    <row r="20" spans="1:11" ht="24" customHeight="1" x14ac:dyDescent="0.3">
      <c r="A20" s="28"/>
      <c r="B20" s="70" t="s">
        <v>261</v>
      </c>
      <c r="C20" s="33"/>
      <c r="D20" s="33"/>
      <c r="E20" s="33"/>
      <c r="F20" s="33"/>
      <c r="G20" s="33"/>
      <c r="H20" s="33"/>
      <c r="I20" s="33"/>
      <c r="J20" s="28"/>
      <c r="K20" s="28"/>
    </row>
    <row r="21" spans="1:11" ht="24" customHeight="1" x14ac:dyDescent="0.3">
      <c r="A21" s="28"/>
      <c r="B21" s="33"/>
      <c r="C21" s="33"/>
      <c r="D21" s="33"/>
      <c r="E21" s="33"/>
      <c r="F21" s="33"/>
      <c r="G21" s="33"/>
      <c r="H21" s="33"/>
      <c r="I21" s="33"/>
      <c r="J21" s="28"/>
      <c r="K21" s="28"/>
    </row>
    <row r="22" spans="1:11" ht="24" customHeight="1" x14ac:dyDescent="0.3">
      <c r="A22" s="28"/>
      <c r="B22" s="33"/>
      <c r="C22" s="33"/>
      <c r="D22" s="33"/>
      <c r="E22" s="33"/>
      <c r="F22" s="33"/>
      <c r="G22" s="33"/>
      <c r="H22" s="33"/>
      <c r="I22" s="33"/>
      <c r="J22" s="28"/>
      <c r="K22" s="28"/>
    </row>
    <row r="23" spans="1:11" ht="24" customHeight="1" x14ac:dyDescent="0.3">
      <c r="A23" s="28"/>
      <c r="B23" s="33"/>
      <c r="C23" s="33"/>
      <c r="D23" s="33"/>
      <c r="E23" s="33"/>
      <c r="F23" s="33"/>
      <c r="G23" s="33"/>
      <c r="H23" s="33"/>
      <c r="I23" s="33"/>
      <c r="J23" s="28"/>
      <c r="K23" s="28"/>
    </row>
    <row r="24" spans="1:11" ht="24" customHeight="1" x14ac:dyDescent="0.3">
      <c r="A24" s="28"/>
      <c r="B24" s="33"/>
      <c r="C24" s="33"/>
      <c r="D24" s="33"/>
      <c r="E24" s="33"/>
      <c r="F24" s="33"/>
      <c r="G24" s="33"/>
      <c r="H24" s="33"/>
      <c r="I24" s="33"/>
      <c r="J24" s="28"/>
      <c r="K24" s="28"/>
    </row>
    <row r="25" spans="1:11" ht="24" customHeight="1" x14ac:dyDescent="0.3">
      <c r="A25" s="28"/>
      <c r="B25" s="33"/>
      <c r="C25" s="33"/>
      <c r="D25" s="33"/>
      <c r="E25" s="33"/>
      <c r="F25" s="33"/>
      <c r="G25" s="33"/>
      <c r="H25" s="33"/>
      <c r="I25" s="33"/>
      <c r="J25" s="28"/>
      <c r="K25" s="28"/>
    </row>
    <row r="26" spans="1:11" ht="24" customHeight="1" x14ac:dyDescent="0.3">
      <c r="A26" s="28"/>
      <c r="B26" s="33"/>
      <c r="C26" s="33"/>
      <c r="D26" s="33"/>
      <c r="E26" s="33"/>
      <c r="F26" s="33"/>
      <c r="G26" s="33"/>
      <c r="H26" s="33"/>
      <c r="I26" s="33"/>
      <c r="J26" s="28"/>
      <c r="K26" s="28"/>
    </row>
    <row r="27" spans="1:11" ht="24" customHeight="1" x14ac:dyDescent="0.3">
      <c r="A27" s="28"/>
      <c r="B27" s="33"/>
      <c r="C27" s="33"/>
      <c r="D27" s="33"/>
      <c r="E27" s="33"/>
      <c r="F27" s="33"/>
      <c r="G27" s="33"/>
      <c r="H27" s="33"/>
      <c r="I27" s="33"/>
      <c r="J27" s="28"/>
      <c r="K27" s="28"/>
    </row>
    <row r="28" spans="1:11" ht="24" customHeight="1" x14ac:dyDescent="0.3">
      <c r="A28" s="28"/>
      <c r="B28" s="33"/>
      <c r="C28" s="33"/>
      <c r="D28" s="33"/>
      <c r="E28" s="33"/>
      <c r="F28" s="33"/>
      <c r="G28" s="33"/>
      <c r="H28" s="33"/>
      <c r="I28" s="33"/>
      <c r="J28" s="28"/>
      <c r="K28" s="28"/>
    </row>
    <row r="29" spans="1:11" ht="24" customHeight="1" x14ac:dyDescent="0.3">
      <c r="A29" s="28"/>
      <c r="B29" s="33"/>
      <c r="C29" s="33"/>
      <c r="D29" s="33"/>
      <c r="E29" s="33"/>
      <c r="F29" s="33"/>
      <c r="G29" s="33"/>
      <c r="H29" s="33"/>
      <c r="I29" s="33"/>
      <c r="J29" s="28"/>
      <c r="K29" s="28"/>
    </row>
    <row r="30" spans="1:11" ht="24" customHeight="1" x14ac:dyDescent="0.3">
      <c r="A30" s="28"/>
      <c r="B30" s="33"/>
      <c r="C30" s="33"/>
      <c r="D30" s="33"/>
      <c r="E30" s="33"/>
      <c r="F30" s="33"/>
      <c r="G30" s="33"/>
      <c r="H30" s="33"/>
      <c r="I30" s="33"/>
      <c r="J30" s="28"/>
      <c r="K30" s="28"/>
    </row>
    <row r="31" spans="1:11" ht="24" customHeight="1" x14ac:dyDescent="0.3">
      <c r="A31" s="28"/>
      <c r="B31" s="33"/>
      <c r="C31" s="33"/>
      <c r="D31" s="33"/>
      <c r="E31" s="33"/>
      <c r="F31" s="33"/>
      <c r="G31" s="33"/>
      <c r="H31" s="33"/>
      <c r="I31" s="33"/>
      <c r="J31" s="28"/>
      <c r="K31" s="28"/>
    </row>
    <row r="32" spans="1:11" ht="24" customHeight="1" x14ac:dyDescent="0.3">
      <c r="A32" s="28"/>
      <c r="B32" s="33"/>
      <c r="C32" s="33"/>
      <c r="D32" s="33"/>
      <c r="E32" s="33"/>
      <c r="F32" s="33"/>
      <c r="G32" s="33"/>
      <c r="H32" s="33"/>
      <c r="I32" s="33"/>
      <c r="J32" s="28"/>
      <c r="K32" s="28"/>
    </row>
    <row r="33" spans="1:11" ht="24" customHeight="1" x14ac:dyDescent="0.3">
      <c r="A33" s="28"/>
      <c r="B33" s="33"/>
      <c r="C33" s="33"/>
      <c r="D33" s="33"/>
      <c r="E33" s="33"/>
      <c r="F33" s="33"/>
      <c r="G33" s="33"/>
      <c r="H33" s="33"/>
      <c r="I33" s="33"/>
      <c r="J33" s="28"/>
      <c r="K33" s="28"/>
    </row>
    <row r="34" spans="1:11" ht="24" customHeight="1" x14ac:dyDescent="0.3">
      <c r="A34" s="28"/>
      <c r="B34" s="33"/>
      <c r="C34" s="33"/>
      <c r="D34" s="33"/>
      <c r="E34" s="33"/>
      <c r="F34" s="33"/>
      <c r="G34" s="33"/>
      <c r="H34" s="33"/>
      <c r="I34" s="33"/>
      <c r="J34" s="28"/>
      <c r="K34" s="28"/>
    </row>
    <row r="35" spans="1:11" ht="24" customHeight="1" x14ac:dyDescent="0.3">
      <c r="A35" s="28"/>
      <c r="B35" s="33"/>
      <c r="C35" s="33"/>
      <c r="D35" s="33"/>
      <c r="E35" s="33"/>
      <c r="F35" s="33"/>
      <c r="G35" s="33"/>
      <c r="H35" s="33"/>
      <c r="I35" s="33"/>
      <c r="J35" s="28"/>
      <c r="K35" s="28"/>
    </row>
    <row r="36" spans="1:11" ht="24" customHeight="1" x14ac:dyDescent="0.3">
      <c r="A36" s="28"/>
      <c r="B36" s="33"/>
      <c r="C36" s="33"/>
      <c r="D36" s="33"/>
      <c r="E36" s="33"/>
      <c r="F36" s="33"/>
      <c r="G36" s="33"/>
      <c r="H36" s="33"/>
      <c r="I36" s="33"/>
      <c r="J36" s="28"/>
      <c r="K36" s="28"/>
    </row>
    <row r="37" spans="1:11" ht="24" customHeight="1" x14ac:dyDescent="0.3">
      <c r="A37" s="28"/>
      <c r="B37" s="33"/>
      <c r="C37" s="33"/>
      <c r="D37" s="33"/>
      <c r="E37" s="33"/>
      <c r="F37" s="33"/>
      <c r="G37" s="33"/>
      <c r="H37" s="33"/>
      <c r="I37" s="33"/>
      <c r="J37" s="28"/>
      <c r="K37" s="28"/>
    </row>
    <row r="38" spans="1:11" ht="24" customHeight="1" x14ac:dyDescent="0.3">
      <c r="A38" s="28"/>
      <c r="B38" s="33"/>
      <c r="C38" s="33"/>
      <c r="D38" s="33"/>
      <c r="E38" s="33"/>
      <c r="F38" s="33"/>
      <c r="G38" s="33"/>
      <c r="H38" s="33"/>
      <c r="I38" s="33"/>
      <c r="J38" s="28"/>
      <c r="K38" s="28"/>
    </row>
    <row r="39" spans="1:11" ht="24" customHeight="1" x14ac:dyDescent="0.3">
      <c r="A39" s="28"/>
      <c r="B39" s="33"/>
      <c r="C39" s="33"/>
      <c r="D39" s="33"/>
      <c r="E39" s="33"/>
      <c r="F39" s="33"/>
      <c r="G39" s="33"/>
      <c r="H39" s="33"/>
      <c r="I39" s="33"/>
      <c r="J39" s="28"/>
      <c r="K39" s="28"/>
    </row>
    <row r="40" spans="1:11" ht="24" customHeight="1" x14ac:dyDescent="0.3">
      <c r="A40" s="28"/>
      <c r="B40" s="33"/>
      <c r="C40" s="33"/>
      <c r="D40" s="33"/>
      <c r="E40" s="33"/>
      <c r="F40" s="33"/>
      <c r="G40" s="33"/>
      <c r="H40" s="33"/>
      <c r="I40" s="33"/>
      <c r="J40" s="28"/>
      <c r="K40" s="28"/>
    </row>
    <row r="41" spans="1:11" ht="24" customHeight="1" x14ac:dyDescent="0.3">
      <c r="A41" s="28"/>
      <c r="B41" s="33"/>
      <c r="C41" s="33"/>
      <c r="D41" s="33"/>
      <c r="E41" s="33"/>
      <c r="F41" s="33"/>
      <c r="G41" s="33"/>
      <c r="H41" s="33"/>
      <c r="I41" s="33"/>
      <c r="J41" s="28"/>
      <c r="K41" s="28"/>
    </row>
    <row r="42" spans="1:11" ht="24" customHeight="1" x14ac:dyDescent="0.3">
      <c r="A42" s="28"/>
      <c r="B42" s="33"/>
      <c r="C42" s="33"/>
      <c r="D42" s="33"/>
      <c r="E42" s="33"/>
      <c r="F42" s="33"/>
      <c r="G42" s="33"/>
      <c r="H42" s="33"/>
      <c r="I42" s="33"/>
      <c r="J42" s="28"/>
      <c r="K42" s="28"/>
    </row>
  </sheetData>
  <mergeCells count="1">
    <mergeCell ref="B2:I2"/>
  </mergeCells>
  <conditionalFormatting sqref="H8:H13">
    <cfRule type="expression" dxfId="49" priority="1" stopIfTrue="1">
      <formula>$X8&lt;&gt;"Synthetic snapshot"</formula>
    </cfRule>
  </conditionalFormatting>
  <dataValidations count="1">
    <dataValidation type="list" allowBlank="1" showInputMessage="1" showErrorMessage="1" errorTitle="Choose Yes or No" error="Yes follows this stock every minute. No keeps five-minute monitoring." promptTitle="Follow this stock?" prompt="Yes = 1 minute. No = 5 minutes." sqref="C8:C13" xr:uid="{40FA4356-770E-47CD-B3AC-8E02CD708F5C}">
      <formula1>"Yes,No"</formula1>
    </dataValidation>
  </dataValidations>
  <hyperlinks>
    <hyperlink ref="B3" location="'Holdings'!A1" tooltip="Holdings" display="Holdings" xr:uid="{FD33C5EB-AB0B-4C8E-8FAD-8CAB9479C5B7}"/>
    <hyperlink ref="D3" location="'Transactions'!A1" tooltip="Transactions" display="Transactions" xr:uid="{4F010D05-D6E6-45DE-B08C-4A72A781EAB5}"/>
    <hyperlink ref="F3" location="'Portfolio'!A1" tooltip="Portfolio" display="Portfolio" xr:uid="{B5BDEBAB-C911-4D01-8FB9-4F44AFA3AF22}"/>
    <hyperlink ref="I3" location="'Help'!A1" tooltip="Help" display="Help" xr:uid="{B3145F31-63D9-4E25-BE16-CDCB1C98559E}"/>
    <hyperlink ref="B20" location="'Help'!A1" tooltip="Help and stock codes" display="Help and stock codes" xr:uid="{B28835D9-D585-4125-99C9-C35DEC2407F8}"/>
    <hyperlink ref="G3" location="'Trade plan'!B2" tooltip="Trade plan" display="Trade plan" xr:uid="{273EC0F0-4B97-4193-A4D2-7DE2AF6F67AE}"/>
    <hyperlink ref="H3" location="'Stock view'!B2" tooltip="Stock view" display="Stock view" xr:uid="{9F5B6D3C-9335-4FF3-A338-AE9D561E34DE}"/>
    <hyperlink ref="E3" location="'Headlines'!B2" tooltip="Headlines" display="Headlines" xr:uid="{9BF1AB54-BCAF-4F09-82C2-681602F26CA2}"/>
  </hyperlinks>
  <pageMargins left="0.27777777777777779" right="0.27777777777777779" top="0.27777777777777779" bottom="0.27777777777777779" header="0.3" footer="0.3"/>
  <pageSetup paperSize="8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47A4-6FB2-4F25-9D79-E157E99AED85}">
  <sheetPr>
    <tabColor rgb="FF6CCAD9"/>
    <pageSetUpPr fitToPage="1"/>
  </sheetPr>
  <dimension ref="A1:O1044"/>
  <sheetViews>
    <sheetView showGridLines="0" topLeftCell="B1" zoomScale="85" zoomScaleNormal="85" workbookViewId="0">
      <pane ySplit="3" topLeftCell="A4" activePane="bottomLeft" state="frozenSplit"/>
      <selection activeCell="B1" sqref="B1"/>
      <selection pane="bottomLeft" activeCell="B2" sqref="B2"/>
    </sheetView>
  </sheetViews>
  <sheetFormatPr defaultRowHeight="14.4" x14ac:dyDescent="0.3"/>
  <cols>
    <col min="1" max="1" width="4" hidden="1" customWidth="1"/>
    <col min="2" max="2" width="16" customWidth="1"/>
    <col min="3" max="3" width="14" customWidth="1"/>
    <col min="4" max="4" width="11" customWidth="1"/>
    <col min="5" max="5" width="14" customWidth="1"/>
    <col min="6" max="7" width="15" customWidth="1"/>
    <col min="8" max="8" width="24" customWidth="1"/>
    <col min="9" max="9" width="3" customWidth="1"/>
    <col min="10" max="10" width="17" customWidth="1"/>
    <col min="11" max="11" width="18" customWidth="1"/>
    <col min="12" max="12" width="14" customWidth="1"/>
    <col min="13" max="13" width="3" customWidth="1"/>
    <col min="14" max="15" width="14" hidden="1" customWidth="1"/>
  </cols>
  <sheetData>
    <row r="1" spans="1:15" ht="22.05" customHeight="1" x14ac:dyDescent="0.3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6"/>
      <c r="N1" s="136"/>
      <c r="O1" s="136"/>
    </row>
    <row r="2" spans="1:15" ht="22.05" customHeight="1" x14ac:dyDescent="0.3">
      <c r="A2" s="136">
        <v>1000</v>
      </c>
      <c r="B2" s="138" t="s">
        <v>369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6"/>
      <c r="N2" s="136"/>
      <c r="O2" s="136"/>
    </row>
    <row r="3" spans="1:15" ht="22.05" customHeight="1" x14ac:dyDescent="0.3">
      <c r="A3" s="136"/>
      <c r="B3" s="161" t="s">
        <v>320</v>
      </c>
      <c r="C3" s="137"/>
      <c r="D3" s="137"/>
      <c r="E3" s="161" t="s">
        <v>323</v>
      </c>
      <c r="F3" s="137"/>
      <c r="G3" s="137"/>
      <c r="H3" s="161" t="s">
        <v>317</v>
      </c>
      <c r="I3" s="137"/>
      <c r="J3" s="161" t="s">
        <v>398</v>
      </c>
      <c r="K3" s="161" t="s">
        <v>319</v>
      </c>
      <c r="L3" s="137"/>
      <c r="M3" s="136"/>
      <c r="N3" s="136"/>
      <c r="O3" s="136"/>
    </row>
    <row r="4" spans="1:15" ht="22.05" customHeight="1" x14ac:dyDescent="0.3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</row>
    <row r="5" spans="1:15" ht="28.05" customHeight="1" x14ac:dyDescent="0.3">
      <c r="A5" s="136" t="str">
        <f>IF(COUNTIFS(DemoInstruments[Name],D5)&lt;&gt;1,"",INDEX(DemoInstruments[Instrument],MATCH(D5,DemoInstruments[Name],0)))</f>
        <v>SYN_BANK</v>
      </c>
      <c r="B5" s="136" t="s">
        <v>158</v>
      </c>
      <c r="C5" s="136"/>
      <c r="D5" s="180" t="s">
        <v>47</v>
      </c>
      <c r="E5" s="180"/>
      <c r="F5" s="180"/>
      <c r="G5" s="180"/>
      <c r="H5" s="180"/>
      <c r="I5" s="136"/>
      <c r="J5" s="136" t="s">
        <v>370</v>
      </c>
      <c r="K5" s="180" t="s">
        <v>371</v>
      </c>
      <c r="L5" s="180"/>
      <c r="M5" s="136"/>
      <c r="N5" s="136"/>
      <c r="O5" s="136"/>
    </row>
    <row r="6" spans="1:15" ht="22.05" customHeight="1" x14ac:dyDescent="0.3">
      <c r="A6" s="136">
        <f>COUNTIFS(StockSplitRules[Instrument],A5)</f>
        <v>0</v>
      </c>
      <c r="B6" s="181" t="s">
        <v>541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36"/>
      <c r="N6" s="136"/>
      <c r="O6" s="136"/>
    </row>
    <row r="7" spans="1:15" ht="22.05" customHeight="1" x14ac:dyDescent="0.3">
      <c r="A7" s="136">
        <f>IF(A6=1,INDEX(StockSplitRules[Split date],MATCH(A5,StockSplitRules[Instrument],0)),0)</f>
        <v>0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22.05" customHeight="1" x14ac:dyDescent="0.3">
      <c r="A8" s="136">
        <f>IF(A6=1,INDEX(StockSplitRules[New / old shares],MATCH(A5,StockSplitRules[Instrument],0)),1)</f>
        <v>1</v>
      </c>
      <c r="B8" s="139" t="s">
        <v>372</v>
      </c>
      <c r="C8" s="136"/>
      <c r="D8" s="136"/>
      <c r="E8" s="136"/>
      <c r="F8" s="139" t="s">
        <v>373</v>
      </c>
      <c r="G8" s="136"/>
      <c r="H8" s="136"/>
      <c r="I8" s="136"/>
      <c r="J8" s="139" t="s">
        <v>374</v>
      </c>
      <c r="K8" s="136"/>
      <c r="L8" s="136"/>
      <c r="M8" s="136"/>
      <c r="N8" s="136"/>
      <c r="O8" s="136"/>
    </row>
    <row r="9" spans="1:15" ht="34.049999999999997" customHeight="1" x14ac:dyDescent="0.3">
      <c r="A9" s="136"/>
      <c r="B9" s="176">
        <f>IF($A$23=0,"n.a.",INDEX(WatchSettings[Price (INR)],$A$23))</f>
        <v>547.4307</v>
      </c>
      <c r="C9" s="177"/>
      <c r="D9" s="177"/>
      <c r="E9" s="177"/>
      <c r="F9" s="182">
        <f>IF($A$13&lt;&gt;"Ready","n.a.",IF($A$10&lt;22,"n.a.",INDEX(StockDaily[Adjusted close],$A$10)/INDEX(StockDaily[Adjusted close],$A$10-21)-1))</f>
        <v>-2.6105456865953891E-2</v>
      </c>
      <c r="G9" s="177"/>
      <c r="H9" s="177"/>
      <c r="I9" s="177"/>
      <c r="J9" s="182">
        <f>IF($A$13&lt;&gt;"Ready","n.a.",IF($A$10&lt;64,"n.a.",INDEX(StockDaily[Adjusted close],$A$10)/INDEX(StockDaily[Adjusted close],$A$10-63)-1))</f>
        <v>1.9857034271534291E-2</v>
      </c>
      <c r="K9" s="177"/>
      <c r="L9" s="177"/>
      <c r="M9" s="136"/>
      <c r="N9" s="136"/>
      <c r="O9" s="136"/>
    </row>
    <row r="10" spans="1:15" ht="22.05" customHeight="1" x14ac:dyDescent="0.3">
      <c r="A10" s="136">
        <f>ROWS(DemoHistory[Date])</f>
        <v>130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</row>
    <row r="11" spans="1:15" ht="24" customHeight="1" x14ac:dyDescent="0.3">
      <c r="A11" s="136">
        <f>MAX(1,MIN(A10,A2)-IF(K5="21 closes",21,IF(K5="63 closes",63,MIN(A10,A2)))+1)</f>
        <v>1</v>
      </c>
      <c r="B11" s="171" t="str">
        <f ca="1">IF($A$23=0,"No unique Watchlist quote",INDEX(WatchSettings[Status],$A$23)&amp;". Market time: "&amp;IF(ISNUMBER(INDEX(WatchSettings[Price observed],$A$23)),TEXT(INDEX(WatchSettings[Price observed],$A$23),"dd mmm yyyy hh:mm")&amp;" IST","unavailable")&amp;". Refresh: "&amp;INDEX(WatchSettings[Refresh],$A$23)&amp;" min.")</f>
        <v>Demo price. Market time: 18 Sep 2026 15:30 IST. Refresh: 1 min.</v>
      </c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36"/>
      <c r="N11" s="136"/>
      <c r="O11" s="136"/>
    </row>
    <row r="12" spans="1:15" ht="24" customHeight="1" x14ac:dyDescent="0.3">
      <c r="A12" s="136" t="b">
        <f>IF(A6=0,TRUE,IF(A6&lt;&gt;1,FALSE,IF(COUNT(A7:A8)&lt;&gt;2,FALSE,AND(A7&gt;0,A7=INT(A7),A8&gt;0))))</f>
        <v>1</v>
      </c>
      <c r="B12" s="171" t="str">
        <f>IF($A$13&lt;&gt;"Ready",$A$13,"Daily history: "&amp;TEXT(MIN(DemoHistory[Date]),"dd mmm yyyy")&amp;" to "&amp;TEXT($A$24,"dd mmm yyyy")&amp;". "&amp;$A$10&amp;" observations. Returns use completed closes, not the current quote.")</f>
        <v>Daily history: 23 Mar 2026 to 18 Sep 2026. 130 observations. Returns use completed closes, not the current quote.</v>
      </c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36"/>
      <c r="N12" s="136"/>
      <c r="O12" s="136"/>
    </row>
    <row r="13" spans="1:15" ht="22.05" customHeight="1" x14ac:dyDescent="0.3">
      <c r="A13" s="136" t="str">
        <f>IF(A5="","Choose a stock",IF(NOT(OR(K5="All closes",K5="63 closes",K5="21 closes")),"Choose a chart range",IF(A10&gt;A2,"History exceeds 1,000 rows; extend and validate the view",IF(COUNT(DemoHistory[Date])=0,"No dated daily history",IF(NOT(A12),"Check split rule",IF(COUNTIFS(StockDaily[Row status],"OK")&lt;&gt;MIN(A10,A2),"Check daily history for missing prices or invalid dates","Ready"))))))</f>
        <v>Ready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</row>
    <row r="14" spans="1:15" ht="22.05" customHeight="1" x14ac:dyDescent="0.3">
      <c r="A14" s="136"/>
      <c r="B14" s="139" t="s">
        <v>375</v>
      </c>
      <c r="C14" s="136"/>
      <c r="D14" s="136"/>
      <c r="E14" s="136"/>
      <c r="F14" s="139" t="s">
        <v>376</v>
      </c>
      <c r="G14" s="136"/>
      <c r="H14" s="136"/>
      <c r="I14" s="136"/>
      <c r="J14" s="139" t="s">
        <v>377</v>
      </c>
      <c r="K14" s="136"/>
      <c r="L14" s="136"/>
      <c r="M14" s="136"/>
      <c r="N14" s="136"/>
      <c r="O14" s="136"/>
    </row>
    <row r="15" spans="1:15" ht="34.049999999999997" customHeight="1" x14ac:dyDescent="0.3">
      <c r="A15" s="136"/>
      <c r="B15" s="176">
        <f>IF($A$13&lt;&gt;"Ready","n.a.",INDEX(StockDaily[50-session average],$A$10))</f>
        <v>565.72541199999989</v>
      </c>
      <c r="C15" s="177"/>
      <c r="D15" s="177"/>
      <c r="E15" s="177"/>
      <c r="F15" s="176" t="str">
        <f>IF($A$13&lt;&gt;"Ready","n.a.",INDEX(StockDaily[200-session average],$A$10))</f>
        <v>n.a.</v>
      </c>
      <c r="G15" s="177"/>
      <c r="H15" s="177"/>
      <c r="I15" s="177"/>
      <c r="J15" s="178" t="str">
        <f>IF($A$13&lt;&gt;"Ready","n.a.",IF($A$10&lt;63,"n.a.",TEXT(MIN(INDEX(StockDaily[Adjusted close],$A$10-62):INDEX(StockDaily[Adjusted close],$A$10)),"#,##0.00")&amp;" to "&amp;TEXT(MAX(INDEX(StockDaily[Adjusted close],$A$10-62):INDEX(StockDaily[Adjusted close],$A$10)),"#,##0.00")))</f>
        <v>540.26 to 591.48</v>
      </c>
      <c r="K15" s="177"/>
      <c r="L15" s="177"/>
      <c r="M15" s="136"/>
      <c r="N15" s="136"/>
      <c r="O15" s="136"/>
    </row>
    <row r="16" spans="1:15" ht="22.05" customHeight="1" x14ac:dyDescent="0.3">
      <c r="A16" s="136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</row>
    <row r="17" spans="1:15" ht="30" customHeight="1" x14ac:dyDescent="0.3">
      <c r="A17" s="136"/>
      <c r="B17" s="179" t="str">
        <f>IF($A$13&lt;&gt;"Ready",$A$13,IF($A$10&lt;200,"200-session average needs 200 closes; "&amp;$A$10&amp;" available. ","")&amp;"Split-adjusted prices. Dividends excluded.")</f>
        <v>200-session average needs 200 closes; 130 available. Split-adjusted prices. Dividends excluded.</v>
      </c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36"/>
      <c r="N17" s="136"/>
      <c r="O17" s="136"/>
    </row>
    <row r="18" spans="1:15" ht="22.05" customHeight="1" x14ac:dyDescent="0.3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</row>
    <row r="19" spans="1:15" ht="22.05" customHeight="1" x14ac:dyDescent="0.3">
      <c r="A19" s="136"/>
      <c r="B19" s="140" t="s">
        <v>378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ht="22.05" customHeight="1" x14ac:dyDescent="0.3">
      <c r="A20" s="136"/>
      <c r="B20" s="136" t="s">
        <v>335</v>
      </c>
      <c r="C20" s="136"/>
      <c r="D20" s="173">
        <f>IF($A$22=0,"n.a.",IF(COUNT(INDEX(PlanInputs[Entry],$A$22))&lt;&gt;1,"n.a.",IF(INDEX(PlanInputs[Entry],$A$22)&lt;=0,"n.a.",INDEX(PlanInputs[Entry],$A$22))))</f>
        <v>550</v>
      </c>
      <c r="E20" s="174"/>
      <c r="F20" s="167" t="s">
        <v>336</v>
      </c>
      <c r="G20" s="136"/>
      <c r="H20" s="166">
        <f>IF($A$22=0,"n.a.",IF(COUNT(INDEX(PlanInputs[Stop],$A$22))&lt;&gt;1,"n.a.",IF(INDEX(PlanInputs[Stop],$A$22)&lt;=0,"n.a.",INDEX(PlanInputs[Stop],$A$22))))</f>
        <v>525</v>
      </c>
      <c r="I20" s="136"/>
      <c r="J20" s="167" t="s">
        <v>337</v>
      </c>
      <c r="K20" s="173">
        <f>IF($A$22=0,"n.a.",IF(COUNT(INDEX(PlanInputs[Target],$A$22))&lt;&gt;1,"n.a.",IF(INDEX(PlanInputs[Target],$A$22)&lt;=0,"n.a.",INDEX(PlanInputs[Target],$A$22))))</f>
        <v>600</v>
      </c>
      <c r="L20" s="174"/>
      <c r="M20" s="136"/>
      <c r="N20" s="136"/>
      <c r="O20" s="136"/>
    </row>
    <row r="21" spans="1:15" ht="22.05" customHeight="1" x14ac:dyDescent="0.3">
      <c r="A21" s="136" t="str">
        <f>"PLAN-"&amp;A5</f>
        <v>PLAN-SYN_BANK</v>
      </c>
      <c r="B21" s="136" t="s">
        <v>379</v>
      </c>
      <c r="C21" s="136"/>
      <c r="D21" s="175">
        <f>IF(AND(ISNUMBER($B$9),ISNUMBER(D20)),IF(D20&gt;0,$B$9/D20-1,"n.a."),"n.a.")</f>
        <v>-4.6714545454545897E-3</v>
      </c>
      <c r="E21" s="174"/>
      <c r="F21" s="167" t="s">
        <v>380</v>
      </c>
      <c r="G21" s="136"/>
      <c r="H21" s="168">
        <f>IF(AND(ISNUMBER($B$9),ISNUMBER(H20)),IF(H20&gt;0,$B$9/H20-1,"n.a."),"n.a.")</f>
        <v>4.2725142857142906E-2</v>
      </c>
      <c r="I21" s="136"/>
      <c r="J21" s="167" t="s">
        <v>381</v>
      </c>
      <c r="K21" s="175">
        <f>IF(AND(ISNUMBER($B$9),ISNUMBER(K20)),IF(K20&gt;0,$B$9/K20-1,"n.a."),"n.a.")</f>
        <v>-8.7615499999999957E-2</v>
      </c>
      <c r="L21" s="174"/>
      <c r="M21" s="136"/>
      <c r="N21" s="136"/>
      <c r="O21" s="136"/>
    </row>
    <row r="22" spans="1:15" ht="22.05" customHeight="1" x14ac:dyDescent="0.3">
      <c r="A22" s="136">
        <f>IF(COUNTIFS(PlanInputs[PlanID],A21)=1,MATCH(A21,PlanInputs[PlanID],0),0)</f>
        <v>1</v>
      </c>
      <c r="B22" s="172" t="str">
        <f>IF(COUNTIFS(PlanResults[PlanID],$A$21)&lt;&gt;1,"No unique draft", "Draft: "&amp;INDEX(PlanResults[Plan status],MATCH($A$21,PlanResults[PlanID],0)))</f>
        <v>Draft: Calculated draft</v>
      </c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36"/>
      <c r="N22" s="136"/>
      <c r="O22" s="136"/>
    </row>
    <row r="23" spans="1:15" ht="22.05" customHeight="1" x14ac:dyDescent="0.3">
      <c r="A23" s="136">
        <f>IF(COUNTIFS(WatchSettings[Instrument],A5)=1,MATCH(A5,WatchSettings[Instrument],0),0)</f>
        <v>1</v>
      </c>
      <c r="B23" s="171" t="s">
        <v>382</v>
      </c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36"/>
      <c r="N23" s="136"/>
      <c r="O23" s="136"/>
    </row>
    <row r="24" spans="1:15" ht="22.05" customHeight="1" x14ac:dyDescent="0.3">
      <c r="A24" s="136">
        <f>IF(A13="Ready",MAX(DemoHistory[Date]),0)</f>
        <v>46283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</row>
    <row r="25" spans="1:15" ht="22.05" customHeight="1" x14ac:dyDescent="0.3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</row>
    <row r="26" spans="1:15" ht="22.05" customHeight="1" x14ac:dyDescent="0.3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</row>
    <row r="27" spans="1:15" ht="22.05" customHeight="1" x14ac:dyDescent="0.3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</row>
    <row r="28" spans="1:15" ht="22.05" customHeight="1" x14ac:dyDescent="0.3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</row>
    <row r="29" spans="1:15" ht="22.05" customHeight="1" x14ac:dyDescent="0.3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</row>
    <row r="30" spans="1:15" ht="22.05" customHeight="1" x14ac:dyDescent="0.3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</row>
    <row r="31" spans="1:15" ht="22.05" customHeight="1" x14ac:dyDescent="0.3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</row>
    <row r="32" spans="1:15" ht="22.05" customHeight="1" x14ac:dyDescent="0.3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</row>
    <row r="33" spans="1:15" ht="22.05" customHeight="1" x14ac:dyDescent="0.3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</row>
    <row r="34" spans="1:15" ht="22.05" customHeight="1" x14ac:dyDescent="0.3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</row>
    <row r="35" spans="1:15" ht="22.05" customHeight="1" x14ac:dyDescent="0.3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</row>
    <row r="36" spans="1:15" ht="22.05" customHeight="1" x14ac:dyDescent="0.3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</row>
    <row r="37" spans="1:15" ht="22.05" customHeight="1" x14ac:dyDescent="0.3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</row>
    <row r="38" spans="1:15" ht="22.05" customHeight="1" x14ac:dyDescent="0.3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</row>
    <row r="39" spans="1:15" ht="22.05" customHeight="1" x14ac:dyDescent="0.3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</row>
    <row r="40" spans="1:15" ht="22.05" customHeight="1" x14ac:dyDescent="0.3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</row>
    <row r="41" spans="1:15" ht="22.05" customHeight="1" x14ac:dyDescent="0.3">
      <c r="A41" s="136"/>
      <c r="B41" s="171" t="s">
        <v>383</v>
      </c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36"/>
      <c r="N41" s="136"/>
      <c r="O41" s="136"/>
    </row>
    <row r="42" spans="1:15" ht="22.05" customHeight="1" x14ac:dyDescent="0.3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</row>
    <row r="43" spans="1:15" ht="22.05" customHeight="1" x14ac:dyDescent="0.3">
      <c r="A43" s="136"/>
      <c r="B43" s="140" t="s">
        <v>384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</row>
    <row r="44" spans="1:15" ht="36" customHeight="1" x14ac:dyDescent="0.3">
      <c r="A44" s="136" t="s">
        <v>385</v>
      </c>
      <c r="B44" s="141" t="s">
        <v>72</v>
      </c>
      <c r="C44" s="141" t="s">
        <v>386</v>
      </c>
      <c r="D44" s="141" t="s">
        <v>387</v>
      </c>
      <c r="E44" s="141" t="s">
        <v>388</v>
      </c>
      <c r="F44" s="141" t="s">
        <v>375</v>
      </c>
      <c r="G44" s="141" t="s">
        <v>376</v>
      </c>
      <c r="H44" s="141" t="s">
        <v>389</v>
      </c>
      <c r="I44" s="136"/>
      <c r="J44" s="141" t="s">
        <v>11</v>
      </c>
      <c r="K44" s="141" t="s">
        <v>390</v>
      </c>
      <c r="L44" s="141" t="s">
        <v>391</v>
      </c>
      <c r="M44" s="136"/>
      <c r="N44" s="136"/>
      <c r="O44" s="136"/>
    </row>
    <row r="45" spans="1:15" ht="22.05" customHeight="1" x14ac:dyDescent="0.3">
      <c r="A45" s="136">
        <v>1</v>
      </c>
      <c r="B45" s="165">
        <f>IF($A45&gt;MIN($A$10,$A$2),"",INDEX(DemoHistory[Date],$A45))</f>
        <v>46104</v>
      </c>
      <c r="C45" s="166">
        <f>IF(OR($A45&gt;MIN($A$10,$A$2),$A$5=""),"",INDEX(DemoHistory[],$A45,MATCH($A$5,DemoHistory[#Headers],0)))</f>
        <v>550</v>
      </c>
      <c r="D45" s="166">
        <f>IF($A45&gt;MIN($A$10,$A$2),"",IF(AND($A$12,$A$6=1,B45&lt;$A$7,$A$7&lt;=MAX(DemoHistory[Date])),$A$8,1))</f>
        <v>1</v>
      </c>
      <c r="E45" s="166">
        <f t="shared" ref="E45:E108" si="0">IF($A45&gt;MIN($A$10,$A$2),"",IF(H45="OK",C45/D45,"n.a."))</f>
        <v>550</v>
      </c>
      <c r="F45" s="166" t="str">
        <f>IF($A45&gt;MIN($A$10,$A$2),"",IF($A45&lt;50,"n.a.",IF(COUNT(INDEX(StockDaily[Adjusted close],MAX(1,$A45-50+1)):E45)=50,AVERAGE(INDEX(StockDaily[Adjusted close],MAX(1,$A45-50+1)):E45),"n.a.")))</f>
        <v>n.a.</v>
      </c>
      <c r="G45" s="166" t="str">
        <f>IF($A45&gt;MIN($A$10,$A$2),"",IF($A45&lt;200,"n.a.",IF(COUNT(INDEX(StockDaily[Adjusted close],MAX(1,$A45-200+1)):E45)=200,AVERAGE(INDEX(StockDaily[Adjusted close],MAX(1,$A45-200+1)):E45),"n.a.")))</f>
        <v>n.a.</v>
      </c>
      <c r="H45" s="136" t="str">
        <f>IF($A45&gt;MIN($A$10,$A$2),"",IF($A$5="","Choose stock",IF(NOT($A$12),"Check split rule",IF(NOT(ISNUMBER(B45)),"Invalid date",IF(OR(B45&lt;=0,B45&lt;&gt;INT(B45)),"Invalid date",IF(COUNTIFS(DemoHistory[Date],B45)&lt;&gt;1,"Duplicate date",IF(AND($A45&gt;1,B45&lt;=B44),"Dates out of order",IF(NOT(ISNUMBER(C45)),"Missing price",IF(C45&lt;=0,"Nonpositive price","OK")))))))))</f>
        <v>OK</v>
      </c>
      <c r="I45" s="136"/>
      <c r="J45" s="136" t="s">
        <v>49</v>
      </c>
      <c r="K45" s="165">
        <v>46195</v>
      </c>
      <c r="L45" s="136">
        <v>2</v>
      </c>
      <c r="M45" s="136"/>
      <c r="N45" s="136">
        <f t="shared" ref="N45:N108" si="1">IF(AND($A$13="Ready",ISNUMBER(E45)),E45,NA())</f>
        <v>550</v>
      </c>
      <c r="O45" s="136" t="e">
        <f t="shared" ref="O45:O108" si="2">IF(AND($A$13="Ready",ISNUMBER(F45)),F45,NA())</f>
        <v>#N/A</v>
      </c>
    </row>
    <row r="46" spans="1:15" ht="22.05" customHeight="1" x14ac:dyDescent="0.3">
      <c r="A46" s="136">
        <v>2</v>
      </c>
      <c r="B46" s="165">
        <f>IF($A46&gt;MIN($A$10,$A$2),"",INDEX(DemoHistory[Date],$A46))</f>
        <v>46105</v>
      </c>
      <c r="C46" s="166">
        <f>IF(OR($A46&gt;MIN($A$10,$A$2),$A$5=""),"",INDEX(DemoHistory[],$A46,MATCH($A$5,DemoHistory[#Headers],0)))</f>
        <v>553.26610000000005</v>
      </c>
      <c r="D46" s="166">
        <f>IF($A46&gt;MIN($A$10,$A$2),"",IF(AND($A$12,$A$6=1,B46&lt;$A$7,$A$7&lt;=MAX(DemoHistory[Date])),$A$8,1))</f>
        <v>1</v>
      </c>
      <c r="E46" s="166">
        <f t="shared" si="0"/>
        <v>553.26610000000005</v>
      </c>
      <c r="F46" s="166" t="str">
        <f>IF($A46&gt;MIN($A$10,$A$2),"",IF($A46&lt;50,"n.a.",IF(COUNT(INDEX(StockDaily[Adjusted close],MAX(1,$A46-50+1)):E46)=50,AVERAGE(INDEX(StockDaily[Adjusted close],MAX(1,$A46-50+1)):E46),"n.a.")))</f>
        <v>n.a.</v>
      </c>
      <c r="G46" s="166" t="str">
        <f>IF($A46&gt;MIN($A$10,$A$2),"",IF($A46&lt;200,"n.a.",IF(COUNT(INDEX(StockDaily[Adjusted close],MAX(1,$A46-200+1)):E46)=200,AVERAGE(INDEX(StockDaily[Adjusted close],MAX(1,$A46-200+1)):E46),"n.a.")))</f>
        <v>n.a.</v>
      </c>
      <c r="H46" s="136" t="str">
        <f>IF($A46&gt;MIN($A$10,$A$2),"",IF($A$5="","Choose stock",IF(NOT($A$12),"Check split rule",IF(NOT(ISNUMBER(B46)),"Invalid date",IF(OR(B46&lt;=0,B46&lt;&gt;INT(B46)),"Invalid date",IF(COUNTIFS(DemoHistory[Date],B46)&lt;&gt;1,"Duplicate date",IF(AND($A46&gt;1,B46&lt;=B45),"Dates out of order",IF(NOT(ISNUMBER(C46)),"Missing price",IF(C46&lt;=0,"Nonpositive price","OK")))))))))</f>
        <v>OK</v>
      </c>
      <c r="I46" s="136"/>
      <c r="J46" s="136"/>
      <c r="K46" s="136"/>
      <c r="L46" s="136"/>
      <c r="M46" s="136"/>
      <c r="N46" s="136">
        <f t="shared" si="1"/>
        <v>553.26610000000005</v>
      </c>
      <c r="O46" s="136" t="e">
        <f t="shared" si="2"/>
        <v>#N/A</v>
      </c>
    </row>
    <row r="47" spans="1:15" ht="22.05" customHeight="1" x14ac:dyDescent="0.3">
      <c r="A47" s="136">
        <v>3</v>
      </c>
      <c r="B47" s="165">
        <f>IF($A47&gt;MIN($A$10,$A$2),"",INDEX(DemoHistory[Date],$A47))</f>
        <v>46106</v>
      </c>
      <c r="C47" s="166">
        <f>IF(OR($A47&gt;MIN($A$10,$A$2),$A$5=""),"",INDEX(DemoHistory[],$A47,MATCH($A$5,DemoHistory[#Headers],0)))</f>
        <v>550.68269999999995</v>
      </c>
      <c r="D47" s="166">
        <f>IF($A47&gt;MIN($A$10,$A$2),"",IF(AND($A$12,$A$6=1,B47&lt;$A$7,$A$7&lt;=MAX(DemoHistory[Date])),$A$8,1))</f>
        <v>1</v>
      </c>
      <c r="E47" s="166">
        <f t="shared" si="0"/>
        <v>550.68269999999995</v>
      </c>
      <c r="F47" s="166" t="str">
        <f>IF($A47&gt;MIN($A$10,$A$2),"",IF($A47&lt;50,"n.a.",IF(COUNT(INDEX(StockDaily[Adjusted close],MAX(1,$A47-50+1)):E47)=50,AVERAGE(INDEX(StockDaily[Adjusted close],MAX(1,$A47-50+1)):E47),"n.a.")))</f>
        <v>n.a.</v>
      </c>
      <c r="G47" s="166" t="str">
        <f>IF($A47&gt;MIN($A$10,$A$2),"",IF($A47&lt;200,"n.a.",IF(COUNT(INDEX(StockDaily[Adjusted close],MAX(1,$A47-200+1)):E47)=200,AVERAGE(INDEX(StockDaily[Adjusted close],MAX(1,$A47-200+1)):E47),"n.a.")))</f>
        <v>n.a.</v>
      </c>
      <c r="H47" s="136" t="str">
        <f>IF($A47&gt;MIN($A$10,$A$2),"",IF($A$5="","Choose stock",IF(NOT($A$12),"Check split rule",IF(NOT(ISNUMBER(B47)),"Invalid date",IF(OR(B47&lt;=0,B47&lt;&gt;INT(B47)),"Invalid date",IF(COUNTIFS(DemoHistory[Date],B47)&lt;&gt;1,"Duplicate date",IF(AND($A47&gt;1,B47&lt;=B46),"Dates out of order",IF(NOT(ISNUMBER(C47)),"Missing price",IF(C47&lt;=0,"Nonpositive price","OK")))))))))</f>
        <v>OK</v>
      </c>
      <c r="I47" s="136"/>
      <c r="J47" s="149" t="s">
        <v>392</v>
      </c>
      <c r="K47" s="149"/>
      <c r="L47" s="149"/>
      <c r="M47" s="136"/>
      <c r="N47" s="136">
        <f t="shared" si="1"/>
        <v>550.68269999999995</v>
      </c>
      <c r="O47" s="136" t="e">
        <f t="shared" si="2"/>
        <v>#N/A</v>
      </c>
    </row>
    <row r="48" spans="1:15" ht="22.05" customHeight="1" x14ac:dyDescent="0.3">
      <c r="A48" s="136">
        <v>4</v>
      </c>
      <c r="B48" s="165">
        <f>IF($A48&gt;MIN($A$10,$A$2),"",INDEX(DemoHistory[Date],$A48))</f>
        <v>46107</v>
      </c>
      <c r="C48" s="166">
        <f>IF(OR($A48&gt;MIN($A$10,$A$2),$A$5=""),"",INDEX(DemoHistory[],$A48,MATCH($A$5,DemoHistory[#Headers],0)))</f>
        <v>554.25819999999999</v>
      </c>
      <c r="D48" s="166">
        <f>IF($A48&gt;MIN($A$10,$A$2),"",IF(AND($A$12,$A$6=1,B48&lt;$A$7,$A$7&lt;=MAX(DemoHistory[Date])),$A$8,1))</f>
        <v>1</v>
      </c>
      <c r="E48" s="166">
        <f t="shared" si="0"/>
        <v>554.25819999999999</v>
      </c>
      <c r="F48" s="166" t="str">
        <f>IF($A48&gt;MIN($A$10,$A$2),"",IF($A48&lt;50,"n.a.",IF(COUNT(INDEX(StockDaily[Adjusted close],MAX(1,$A48-50+1)):E48)=50,AVERAGE(INDEX(StockDaily[Adjusted close],MAX(1,$A48-50+1)):E48),"n.a.")))</f>
        <v>n.a.</v>
      </c>
      <c r="G48" s="166" t="str">
        <f>IF($A48&gt;MIN($A$10,$A$2),"",IF($A48&lt;200,"n.a.",IF(COUNT(INDEX(StockDaily[Adjusted close],MAX(1,$A48-200+1)):E48)=200,AVERAGE(INDEX(StockDaily[Adjusted close],MAX(1,$A48-200+1)):E48),"n.a.")))</f>
        <v>n.a.</v>
      </c>
      <c r="H48" s="136" t="str">
        <f>IF($A48&gt;MIN($A$10,$A$2),"",IF($A$5="","Choose stock",IF(NOT($A$12),"Check split rule",IF(NOT(ISNUMBER(B48)),"Invalid date",IF(OR(B48&lt;=0,B48&lt;&gt;INT(B48)),"Invalid date",IF(COUNTIFS(DemoHistory[Date],B48)&lt;&gt;1,"Duplicate date",IF(AND($A48&gt;1,B48&lt;=B47),"Dates out of order",IF(NOT(ISNUMBER(C48)),"Missing price",IF(C48&lt;=0,"Nonpositive price","OK")))))))))</f>
        <v>OK</v>
      </c>
      <c r="I48" s="136"/>
      <c r="J48" s="172" t="s">
        <v>393</v>
      </c>
      <c r="K48" s="172"/>
      <c r="L48" s="172"/>
      <c r="M48" s="136"/>
      <c r="N48" s="136">
        <f t="shared" si="1"/>
        <v>554.25819999999999</v>
      </c>
      <c r="O48" s="136" t="e">
        <f t="shared" si="2"/>
        <v>#N/A</v>
      </c>
    </row>
    <row r="49" spans="1:15" ht="22.05" customHeight="1" x14ac:dyDescent="0.3">
      <c r="A49" s="136">
        <v>5</v>
      </c>
      <c r="B49" s="165">
        <f>IF($A49&gt;MIN($A$10,$A$2),"",INDEX(DemoHistory[Date],$A49))</f>
        <v>46108</v>
      </c>
      <c r="C49" s="166">
        <f>IF(OR($A49&gt;MIN($A$10,$A$2),$A$5=""),"",INDEX(DemoHistory[],$A49,MATCH($A$5,DemoHistory[#Headers],0)))</f>
        <v>550.76199999999994</v>
      </c>
      <c r="D49" s="166">
        <f>IF($A49&gt;MIN($A$10,$A$2),"",IF(AND($A$12,$A$6=1,B49&lt;$A$7,$A$7&lt;=MAX(DemoHistory[Date])),$A$8,1))</f>
        <v>1</v>
      </c>
      <c r="E49" s="166">
        <f t="shared" si="0"/>
        <v>550.76199999999994</v>
      </c>
      <c r="F49" s="166" t="str">
        <f>IF($A49&gt;MIN($A$10,$A$2),"",IF($A49&lt;50,"n.a.",IF(COUNT(INDEX(StockDaily[Adjusted close],MAX(1,$A49-50+1)):E49)=50,AVERAGE(INDEX(StockDaily[Adjusted close],MAX(1,$A49-50+1)):E49),"n.a.")))</f>
        <v>n.a.</v>
      </c>
      <c r="G49" s="166" t="str">
        <f>IF($A49&gt;MIN($A$10,$A$2),"",IF($A49&lt;200,"n.a.",IF(COUNT(INDEX(StockDaily[Adjusted close],MAX(1,$A49-200+1)):E49)=200,AVERAGE(INDEX(StockDaily[Adjusted close],MAX(1,$A49-200+1)):E49),"n.a.")))</f>
        <v>n.a.</v>
      </c>
      <c r="H49" s="136" t="str">
        <f>IF($A49&gt;MIN($A$10,$A$2),"",IF($A$5="","Choose stock",IF(NOT($A$12),"Check split rule",IF(NOT(ISNUMBER(B49)),"Invalid date",IF(OR(B49&lt;=0,B49&lt;&gt;INT(B49)),"Invalid date",IF(COUNTIFS(DemoHistory[Date],B49)&lt;&gt;1,"Duplicate date",IF(AND($A49&gt;1,B49&lt;=B48),"Dates out of order",IF(NOT(ISNUMBER(C49)),"Missing price",IF(C49&lt;=0,"Nonpositive price","OK")))))))))</f>
        <v>OK</v>
      </c>
      <c r="I49" s="136"/>
      <c r="J49" s="172"/>
      <c r="K49" s="172"/>
      <c r="L49" s="172"/>
      <c r="M49" s="136"/>
      <c r="N49" s="136">
        <f t="shared" si="1"/>
        <v>550.76199999999994</v>
      </c>
      <c r="O49" s="136" t="e">
        <f t="shared" si="2"/>
        <v>#N/A</v>
      </c>
    </row>
    <row r="50" spans="1:15" ht="22.05" customHeight="1" x14ac:dyDescent="0.3">
      <c r="A50" s="136">
        <v>6</v>
      </c>
      <c r="B50" s="165">
        <f>IF($A50&gt;MIN($A$10,$A$2),"",INDEX(DemoHistory[Date],$A50))</f>
        <v>46111</v>
      </c>
      <c r="C50" s="166">
        <f>IF(OR($A50&gt;MIN($A$10,$A$2),$A$5=""),"",INDEX(DemoHistory[],$A50,MATCH($A$5,DemoHistory[#Headers],0)))</f>
        <v>549.21100000000001</v>
      </c>
      <c r="D50" s="166">
        <f>IF($A50&gt;MIN($A$10,$A$2),"",IF(AND($A$12,$A$6=1,B50&lt;$A$7,$A$7&lt;=MAX(DemoHistory[Date])),$A$8,1))</f>
        <v>1</v>
      </c>
      <c r="E50" s="166">
        <f t="shared" si="0"/>
        <v>549.21100000000001</v>
      </c>
      <c r="F50" s="166" t="str">
        <f>IF($A50&gt;MIN($A$10,$A$2),"",IF($A50&lt;50,"n.a.",IF(COUNT(INDEX(StockDaily[Adjusted close],MAX(1,$A50-50+1)):E50)=50,AVERAGE(INDEX(StockDaily[Adjusted close],MAX(1,$A50-50+1)):E50),"n.a.")))</f>
        <v>n.a.</v>
      </c>
      <c r="G50" s="166" t="str">
        <f>IF($A50&gt;MIN($A$10,$A$2),"",IF($A50&lt;200,"n.a.",IF(COUNT(INDEX(StockDaily[Adjusted close],MAX(1,$A50-200+1)):E50)=200,AVERAGE(INDEX(StockDaily[Adjusted close],MAX(1,$A50-200+1)):E50),"n.a.")))</f>
        <v>n.a.</v>
      </c>
      <c r="H50" s="136" t="str">
        <f>IF($A50&gt;MIN($A$10,$A$2),"",IF($A$5="","Choose stock",IF(NOT($A$12),"Check split rule",IF(NOT(ISNUMBER(B50)),"Invalid date",IF(OR(B50&lt;=0,B50&lt;&gt;INT(B50)),"Invalid date",IF(COUNTIFS(DemoHistory[Date],B50)&lt;&gt;1,"Duplicate date",IF(AND($A50&gt;1,B50&lt;=B49),"Dates out of order",IF(NOT(ISNUMBER(C50)),"Missing price",IF(C50&lt;=0,"Nonpositive price","OK")))))))))</f>
        <v>OK</v>
      </c>
      <c r="I50" s="136"/>
      <c r="J50" s="172"/>
      <c r="K50" s="172"/>
      <c r="L50" s="172"/>
      <c r="M50" s="136"/>
      <c r="N50" s="136">
        <f t="shared" si="1"/>
        <v>549.21100000000001</v>
      </c>
      <c r="O50" s="136" t="e">
        <f t="shared" si="2"/>
        <v>#N/A</v>
      </c>
    </row>
    <row r="51" spans="1:15" ht="22.05" customHeight="1" x14ac:dyDescent="0.3">
      <c r="A51" s="136">
        <v>7</v>
      </c>
      <c r="B51" s="165">
        <f>IF($A51&gt;MIN($A$10,$A$2),"",INDEX(DemoHistory[Date],$A51))</f>
        <v>46112</v>
      </c>
      <c r="C51" s="166">
        <f>IF(OR($A51&gt;MIN($A$10,$A$2),$A$5=""),"",INDEX(DemoHistory[],$A51,MATCH($A$5,DemoHistory[#Headers],0)))</f>
        <v>554.87429999999995</v>
      </c>
      <c r="D51" s="166">
        <f>IF($A51&gt;MIN($A$10,$A$2),"",IF(AND($A$12,$A$6=1,B51&lt;$A$7,$A$7&lt;=MAX(DemoHistory[Date])),$A$8,1))</f>
        <v>1</v>
      </c>
      <c r="E51" s="166">
        <f t="shared" si="0"/>
        <v>554.87429999999995</v>
      </c>
      <c r="F51" s="166" t="str">
        <f>IF($A51&gt;MIN($A$10,$A$2),"",IF($A51&lt;50,"n.a.",IF(COUNT(INDEX(StockDaily[Adjusted close],MAX(1,$A51-50+1)):E51)=50,AVERAGE(INDEX(StockDaily[Adjusted close],MAX(1,$A51-50+1)):E51),"n.a.")))</f>
        <v>n.a.</v>
      </c>
      <c r="G51" s="166" t="str">
        <f>IF($A51&gt;MIN($A$10,$A$2),"",IF($A51&lt;200,"n.a.",IF(COUNT(INDEX(StockDaily[Adjusted close],MAX(1,$A51-200+1)):E51)=200,AVERAGE(INDEX(StockDaily[Adjusted close],MAX(1,$A51-200+1)):E51),"n.a.")))</f>
        <v>n.a.</v>
      </c>
      <c r="H51" s="136" t="str">
        <f>IF($A51&gt;MIN($A$10,$A$2),"",IF($A$5="","Choose stock",IF(NOT($A$12),"Check split rule",IF(NOT(ISNUMBER(B51)),"Invalid date",IF(OR(B51&lt;=0,B51&lt;&gt;INT(B51)),"Invalid date",IF(COUNTIFS(DemoHistory[Date],B51)&lt;&gt;1,"Duplicate date",IF(AND($A51&gt;1,B51&lt;=B50),"Dates out of order",IF(NOT(ISNUMBER(C51)),"Missing price",IF(C51&lt;=0,"Nonpositive price","OK")))))))))</f>
        <v>OK</v>
      </c>
      <c r="I51" s="136"/>
      <c r="J51" s="172"/>
      <c r="K51" s="172"/>
      <c r="L51" s="172"/>
      <c r="M51" s="136"/>
      <c r="N51" s="136">
        <f t="shared" si="1"/>
        <v>554.87429999999995</v>
      </c>
      <c r="O51" s="136" t="e">
        <f t="shared" si="2"/>
        <v>#N/A</v>
      </c>
    </row>
    <row r="52" spans="1:15" ht="22.05" customHeight="1" x14ac:dyDescent="0.3">
      <c r="A52" s="136">
        <v>8</v>
      </c>
      <c r="B52" s="165">
        <f>IF($A52&gt;MIN($A$10,$A$2),"",INDEX(DemoHistory[Date],$A52))</f>
        <v>46113</v>
      </c>
      <c r="C52" s="166">
        <f>IF(OR($A52&gt;MIN($A$10,$A$2),$A$5=""),"",INDEX(DemoHistory[],$A52,MATCH($A$5,DemoHistory[#Headers],0)))</f>
        <v>551.06700000000001</v>
      </c>
      <c r="D52" s="166">
        <f>IF($A52&gt;MIN($A$10,$A$2),"",IF(AND($A$12,$A$6=1,B52&lt;$A$7,$A$7&lt;=MAX(DemoHistory[Date])),$A$8,1))</f>
        <v>1</v>
      </c>
      <c r="E52" s="166">
        <f t="shared" si="0"/>
        <v>551.06700000000001</v>
      </c>
      <c r="F52" s="166" t="str">
        <f>IF($A52&gt;MIN($A$10,$A$2),"",IF($A52&lt;50,"n.a.",IF(COUNT(INDEX(StockDaily[Adjusted close],MAX(1,$A52-50+1)):E52)=50,AVERAGE(INDEX(StockDaily[Adjusted close],MAX(1,$A52-50+1)):E52),"n.a.")))</f>
        <v>n.a.</v>
      </c>
      <c r="G52" s="166" t="str">
        <f>IF($A52&gt;MIN($A$10,$A$2),"",IF($A52&lt;200,"n.a.",IF(COUNT(INDEX(StockDaily[Adjusted close],MAX(1,$A52-200+1)):E52)=200,AVERAGE(INDEX(StockDaily[Adjusted close],MAX(1,$A52-200+1)):E52),"n.a.")))</f>
        <v>n.a.</v>
      </c>
      <c r="H52" s="136" t="str">
        <f>IF($A52&gt;MIN($A$10,$A$2),"",IF($A$5="","Choose stock",IF(NOT($A$12),"Check split rule",IF(NOT(ISNUMBER(B52)),"Invalid date",IF(OR(B52&lt;=0,B52&lt;&gt;INT(B52)),"Invalid date",IF(COUNTIFS(DemoHistory[Date],B52)&lt;&gt;1,"Duplicate date",IF(AND($A52&gt;1,B52&lt;=B51),"Dates out of order",IF(NOT(ISNUMBER(C52)),"Missing price",IF(C52&lt;=0,"Nonpositive price","OK")))))))))</f>
        <v>OK</v>
      </c>
      <c r="I52" s="136"/>
      <c r="J52" s="172" t="s">
        <v>394</v>
      </c>
      <c r="K52" s="172"/>
      <c r="L52" s="172"/>
      <c r="M52" s="136"/>
      <c r="N52" s="136">
        <f t="shared" si="1"/>
        <v>551.06700000000001</v>
      </c>
      <c r="O52" s="136" t="e">
        <f t="shared" si="2"/>
        <v>#N/A</v>
      </c>
    </row>
    <row r="53" spans="1:15" ht="22.05" customHeight="1" x14ac:dyDescent="0.3">
      <c r="A53" s="136">
        <v>9</v>
      </c>
      <c r="B53" s="165">
        <f>IF($A53&gt;MIN($A$10,$A$2),"",INDEX(DemoHistory[Date],$A53))</f>
        <v>46114</v>
      </c>
      <c r="C53" s="166">
        <f>IF(OR($A53&gt;MIN($A$10,$A$2),$A$5=""),"",INDEX(DemoHistory[],$A53,MATCH($A$5,DemoHistory[#Headers],0)))</f>
        <v>547.12490000000003</v>
      </c>
      <c r="D53" s="166">
        <f>IF($A53&gt;MIN($A$10,$A$2),"",IF(AND($A$12,$A$6=1,B53&lt;$A$7,$A$7&lt;=MAX(DemoHistory[Date])),$A$8,1))</f>
        <v>1</v>
      </c>
      <c r="E53" s="166">
        <f t="shared" si="0"/>
        <v>547.12490000000003</v>
      </c>
      <c r="F53" s="166" t="str">
        <f>IF($A53&gt;MIN($A$10,$A$2),"",IF($A53&lt;50,"n.a.",IF(COUNT(INDEX(StockDaily[Adjusted close],MAX(1,$A53-50+1)):E53)=50,AVERAGE(INDEX(StockDaily[Adjusted close],MAX(1,$A53-50+1)):E53),"n.a.")))</f>
        <v>n.a.</v>
      </c>
      <c r="G53" s="166" t="str">
        <f>IF($A53&gt;MIN($A$10,$A$2),"",IF($A53&lt;200,"n.a.",IF(COUNT(INDEX(StockDaily[Adjusted close],MAX(1,$A53-200+1)):E53)=200,AVERAGE(INDEX(StockDaily[Adjusted close],MAX(1,$A53-200+1)):E53),"n.a.")))</f>
        <v>n.a.</v>
      </c>
      <c r="H53" s="136" t="str">
        <f>IF($A53&gt;MIN($A$10,$A$2),"",IF($A$5="","Choose stock",IF(NOT($A$12),"Check split rule",IF(NOT(ISNUMBER(B53)),"Invalid date",IF(OR(B53&lt;=0,B53&lt;&gt;INT(B53)),"Invalid date",IF(COUNTIFS(DemoHistory[Date],B53)&lt;&gt;1,"Duplicate date",IF(AND($A53&gt;1,B53&lt;=B52),"Dates out of order",IF(NOT(ISNUMBER(C53)),"Missing price",IF(C53&lt;=0,"Nonpositive price","OK")))))))))</f>
        <v>OK</v>
      </c>
      <c r="I53" s="136"/>
      <c r="J53" s="172"/>
      <c r="K53" s="172"/>
      <c r="L53" s="172"/>
      <c r="M53" s="136"/>
      <c r="N53" s="136">
        <f t="shared" si="1"/>
        <v>547.12490000000003</v>
      </c>
      <c r="O53" s="136" t="e">
        <f t="shared" si="2"/>
        <v>#N/A</v>
      </c>
    </row>
    <row r="54" spans="1:15" ht="22.05" customHeight="1" x14ac:dyDescent="0.3">
      <c r="A54" s="136">
        <v>10</v>
      </c>
      <c r="B54" s="165">
        <f>IF($A54&gt;MIN($A$10,$A$2),"",INDEX(DemoHistory[Date],$A54))</f>
        <v>46115</v>
      </c>
      <c r="C54" s="166">
        <f>IF(OR($A54&gt;MIN($A$10,$A$2),$A$5=""),"",INDEX(DemoHistory[],$A54,MATCH($A$5,DemoHistory[#Headers],0)))</f>
        <v>550.71010000000001</v>
      </c>
      <c r="D54" s="166">
        <f>IF($A54&gt;MIN($A$10,$A$2),"",IF(AND($A$12,$A$6=1,B54&lt;$A$7,$A$7&lt;=MAX(DemoHistory[Date])),$A$8,1))</f>
        <v>1</v>
      </c>
      <c r="E54" s="166">
        <f t="shared" si="0"/>
        <v>550.71010000000001</v>
      </c>
      <c r="F54" s="166" t="str">
        <f>IF($A54&gt;MIN($A$10,$A$2),"",IF($A54&lt;50,"n.a.",IF(COUNT(INDEX(StockDaily[Adjusted close],MAX(1,$A54-50+1)):E54)=50,AVERAGE(INDEX(StockDaily[Adjusted close],MAX(1,$A54-50+1)):E54),"n.a.")))</f>
        <v>n.a.</v>
      </c>
      <c r="G54" s="166" t="str">
        <f>IF($A54&gt;MIN($A$10,$A$2),"",IF($A54&lt;200,"n.a.",IF(COUNT(INDEX(StockDaily[Adjusted close],MAX(1,$A54-200+1)):E54)=200,AVERAGE(INDEX(StockDaily[Adjusted close],MAX(1,$A54-200+1)):E54),"n.a.")))</f>
        <v>n.a.</v>
      </c>
      <c r="H54" s="136" t="str">
        <f>IF($A54&gt;MIN($A$10,$A$2),"",IF($A$5="","Choose stock",IF(NOT($A$12),"Check split rule",IF(NOT(ISNUMBER(B54)),"Invalid date",IF(OR(B54&lt;=0,B54&lt;&gt;INT(B54)),"Invalid date",IF(COUNTIFS(DemoHistory[Date],B54)&lt;&gt;1,"Duplicate date",IF(AND($A54&gt;1,B54&lt;=B53),"Dates out of order",IF(NOT(ISNUMBER(C54)),"Missing price",IF(C54&lt;=0,"Nonpositive price","OK")))))))))</f>
        <v>OK</v>
      </c>
      <c r="I54" s="136"/>
      <c r="J54" s="172"/>
      <c r="K54" s="172"/>
      <c r="L54" s="172"/>
      <c r="M54" s="136"/>
      <c r="N54" s="136">
        <f t="shared" si="1"/>
        <v>550.71010000000001</v>
      </c>
      <c r="O54" s="136" t="e">
        <f t="shared" si="2"/>
        <v>#N/A</v>
      </c>
    </row>
    <row r="55" spans="1:15" ht="22.05" customHeight="1" x14ac:dyDescent="0.3">
      <c r="A55" s="136">
        <v>11</v>
      </c>
      <c r="B55" s="165">
        <f>IF($A55&gt;MIN($A$10,$A$2),"",INDEX(DemoHistory[Date],$A55))</f>
        <v>46118</v>
      </c>
      <c r="C55" s="166">
        <f>IF(OR($A55&gt;MIN($A$10,$A$2),$A$5=""),"",INDEX(DemoHistory[],$A55,MATCH($A$5,DemoHistory[#Headers],0)))</f>
        <v>547.25160000000005</v>
      </c>
      <c r="D55" s="166">
        <f>IF($A55&gt;MIN($A$10,$A$2),"",IF(AND($A$12,$A$6=1,B55&lt;$A$7,$A$7&lt;=MAX(DemoHistory[Date])),$A$8,1))</f>
        <v>1</v>
      </c>
      <c r="E55" s="166">
        <f t="shared" si="0"/>
        <v>547.25160000000005</v>
      </c>
      <c r="F55" s="166" t="str">
        <f>IF($A55&gt;MIN($A$10,$A$2),"",IF($A55&lt;50,"n.a.",IF(COUNT(INDEX(StockDaily[Adjusted close],MAX(1,$A55-50+1)):E55)=50,AVERAGE(INDEX(StockDaily[Adjusted close],MAX(1,$A55-50+1)):E55),"n.a.")))</f>
        <v>n.a.</v>
      </c>
      <c r="G55" s="166" t="str">
        <f>IF($A55&gt;MIN($A$10,$A$2),"",IF($A55&lt;200,"n.a.",IF(COUNT(INDEX(StockDaily[Adjusted close],MAX(1,$A55-200+1)):E55)=200,AVERAGE(INDEX(StockDaily[Adjusted close],MAX(1,$A55-200+1)):E55),"n.a.")))</f>
        <v>n.a.</v>
      </c>
      <c r="H55" s="136" t="str">
        <f>IF($A55&gt;MIN($A$10,$A$2),"",IF($A$5="","Choose stock",IF(NOT($A$12),"Check split rule",IF(NOT(ISNUMBER(B55)),"Invalid date",IF(OR(B55&lt;=0,B55&lt;&gt;INT(B55)),"Invalid date",IF(COUNTIFS(DemoHistory[Date],B55)&lt;&gt;1,"Duplicate date",IF(AND($A55&gt;1,B55&lt;=B54),"Dates out of order",IF(NOT(ISNUMBER(C55)),"Missing price",IF(C55&lt;=0,"Nonpositive price","OK")))))))))</f>
        <v>OK</v>
      </c>
      <c r="I55" s="136"/>
      <c r="J55" s="172"/>
      <c r="K55" s="172"/>
      <c r="L55" s="172"/>
      <c r="M55" s="136"/>
      <c r="N55" s="136">
        <f t="shared" si="1"/>
        <v>547.25160000000005</v>
      </c>
      <c r="O55" s="136" t="e">
        <f t="shared" si="2"/>
        <v>#N/A</v>
      </c>
    </row>
    <row r="56" spans="1:15" ht="22.05" customHeight="1" x14ac:dyDescent="0.3">
      <c r="A56" s="136">
        <v>12</v>
      </c>
      <c r="B56" s="165">
        <f>IF($A56&gt;MIN($A$10,$A$2),"",INDEX(DemoHistory[Date],$A56))</f>
        <v>46119</v>
      </c>
      <c r="C56" s="166">
        <f>IF(OR($A56&gt;MIN($A$10,$A$2),$A$5=""),"",INDEX(DemoHistory[],$A56,MATCH($A$5,DemoHistory[#Headers],0)))</f>
        <v>549.08460000000002</v>
      </c>
      <c r="D56" s="166">
        <f>IF($A56&gt;MIN($A$10,$A$2),"",IF(AND($A$12,$A$6=1,B56&lt;$A$7,$A$7&lt;=MAX(DemoHistory[Date])),$A$8,1))</f>
        <v>1</v>
      </c>
      <c r="E56" s="166">
        <f t="shared" si="0"/>
        <v>549.08460000000002</v>
      </c>
      <c r="F56" s="166" t="str">
        <f>IF($A56&gt;MIN($A$10,$A$2),"",IF($A56&lt;50,"n.a.",IF(COUNT(INDEX(StockDaily[Adjusted close],MAX(1,$A56-50+1)):E56)=50,AVERAGE(INDEX(StockDaily[Adjusted close],MAX(1,$A56-50+1)):E56),"n.a.")))</f>
        <v>n.a.</v>
      </c>
      <c r="G56" s="166" t="str">
        <f>IF($A56&gt;MIN($A$10,$A$2),"",IF($A56&lt;200,"n.a.",IF(COUNT(INDEX(StockDaily[Adjusted close],MAX(1,$A56-200+1)):E56)=200,AVERAGE(INDEX(StockDaily[Adjusted close],MAX(1,$A56-200+1)):E56),"n.a.")))</f>
        <v>n.a.</v>
      </c>
      <c r="H56" s="136" t="str">
        <f>IF($A56&gt;MIN($A$10,$A$2),"",IF($A$5="","Choose stock",IF(NOT($A$12),"Check split rule",IF(NOT(ISNUMBER(B56)),"Invalid date",IF(OR(B56&lt;=0,B56&lt;&gt;INT(B56)),"Invalid date",IF(COUNTIFS(DemoHistory[Date],B56)&lt;&gt;1,"Duplicate date",IF(AND($A56&gt;1,B56&lt;=B55),"Dates out of order",IF(NOT(ISNUMBER(C56)),"Missing price",IF(C56&lt;=0,"Nonpositive price","OK")))))))))</f>
        <v>OK</v>
      </c>
      <c r="I56" s="136"/>
      <c r="J56" s="172" t="s">
        <v>395</v>
      </c>
      <c r="K56" s="172"/>
      <c r="L56" s="172"/>
      <c r="M56" s="136"/>
      <c r="N56" s="136">
        <f t="shared" si="1"/>
        <v>549.08460000000002</v>
      </c>
      <c r="O56" s="136" t="e">
        <f t="shared" si="2"/>
        <v>#N/A</v>
      </c>
    </row>
    <row r="57" spans="1:15" ht="22.05" customHeight="1" x14ac:dyDescent="0.3">
      <c r="A57" s="136">
        <v>13</v>
      </c>
      <c r="B57" s="165">
        <f>IF($A57&gt;MIN($A$10,$A$2),"",INDEX(DemoHistory[Date],$A57))</f>
        <v>46120</v>
      </c>
      <c r="C57" s="166">
        <f>IF(OR($A57&gt;MIN($A$10,$A$2),$A$5=""),"",INDEX(DemoHistory[],$A57,MATCH($A$5,DemoHistory[#Headers],0)))</f>
        <v>544.03899999999999</v>
      </c>
      <c r="D57" s="166">
        <f>IF($A57&gt;MIN($A$10,$A$2),"",IF(AND($A$12,$A$6=1,B57&lt;$A$7,$A$7&lt;=MAX(DemoHistory[Date])),$A$8,1))</f>
        <v>1</v>
      </c>
      <c r="E57" s="166">
        <f t="shared" si="0"/>
        <v>544.03899999999999</v>
      </c>
      <c r="F57" s="166" t="str">
        <f>IF($A57&gt;MIN($A$10,$A$2),"",IF($A57&lt;50,"n.a.",IF(COUNT(INDEX(StockDaily[Adjusted close],MAX(1,$A57-50+1)):E57)=50,AVERAGE(INDEX(StockDaily[Adjusted close],MAX(1,$A57-50+1)):E57),"n.a.")))</f>
        <v>n.a.</v>
      </c>
      <c r="G57" s="166" t="str">
        <f>IF($A57&gt;MIN($A$10,$A$2),"",IF($A57&lt;200,"n.a.",IF(COUNT(INDEX(StockDaily[Adjusted close],MAX(1,$A57-200+1)):E57)=200,AVERAGE(INDEX(StockDaily[Adjusted close],MAX(1,$A57-200+1)):E57),"n.a.")))</f>
        <v>n.a.</v>
      </c>
      <c r="H57" s="136" t="str">
        <f>IF($A57&gt;MIN($A$10,$A$2),"",IF($A$5="","Choose stock",IF(NOT($A$12),"Check split rule",IF(NOT(ISNUMBER(B57)),"Invalid date",IF(OR(B57&lt;=0,B57&lt;&gt;INT(B57)),"Invalid date",IF(COUNTIFS(DemoHistory[Date],B57)&lt;&gt;1,"Duplicate date",IF(AND($A57&gt;1,B57&lt;=B56),"Dates out of order",IF(NOT(ISNUMBER(C57)),"Missing price",IF(C57&lt;=0,"Nonpositive price","OK")))))))))</f>
        <v>OK</v>
      </c>
      <c r="I57" s="136"/>
      <c r="J57" s="172"/>
      <c r="K57" s="172"/>
      <c r="L57" s="172"/>
      <c r="M57" s="136"/>
      <c r="N57" s="136">
        <f t="shared" si="1"/>
        <v>544.03899999999999</v>
      </c>
      <c r="O57" s="136" t="e">
        <f t="shared" si="2"/>
        <v>#N/A</v>
      </c>
    </row>
    <row r="58" spans="1:15" ht="22.05" customHeight="1" x14ac:dyDescent="0.3">
      <c r="A58" s="136">
        <v>14</v>
      </c>
      <c r="B58" s="165">
        <f>IF($A58&gt;MIN($A$10,$A$2),"",INDEX(DemoHistory[Date],$A58))</f>
        <v>46121</v>
      </c>
      <c r="C58" s="166">
        <f>IF(OR($A58&gt;MIN($A$10,$A$2),$A$5=""),"",INDEX(DemoHistory[],$A58,MATCH($A$5,DemoHistory[#Headers],0)))</f>
        <v>545.40620000000001</v>
      </c>
      <c r="D58" s="166">
        <f>IF($A58&gt;MIN($A$10,$A$2),"",IF(AND($A$12,$A$6=1,B58&lt;$A$7,$A$7&lt;=MAX(DemoHistory[Date])),$A$8,1))</f>
        <v>1</v>
      </c>
      <c r="E58" s="166">
        <f t="shared" si="0"/>
        <v>545.40620000000001</v>
      </c>
      <c r="F58" s="166" t="str">
        <f>IF($A58&gt;MIN($A$10,$A$2),"",IF($A58&lt;50,"n.a.",IF(COUNT(INDEX(StockDaily[Adjusted close],MAX(1,$A58-50+1)):E58)=50,AVERAGE(INDEX(StockDaily[Adjusted close],MAX(1,$A58-50+1)):E58),"n.a.")))</f>
        <v>n.a.</v>
      </c>
      <c r="G58" s="166" t="str">
        <f>IF($A58&gt;MIN($A$10,$A$2),"",IF($A58&lt;200,"n.a.",IF(COUNT(INDEX(StockDaily[Adjusted close],MAX(1,$A58-200+1)):E58)=200,AVERAGE(INDEX(StockDaily[Adjusted close],MAX(1,$A58-200+1)):E58),"n.a.")))</f>
        <v>n.a.</v>
      </c>
      <c r="H58" s="136" t="str">
        <f>IF($A58&gt;MIN($A$10,$A$2),"",IF($A$5="","Choose stock",IF(NOT($A$12),"Check split rule",IF(NOT(ISNUMBER(B58)),"Invalid date",IF(OR(B58&lt;=0,B58&lt;&gt;INT(B58)),"Invalid date",IF(COUNTIFS(DemoHistory[Date],B58)&lt;&gt;1,"Duplicate date",IF(AND($A58&gt;1,B58&lt;=B57),"Dates out of order",IF(NOT(ISNUMBER(C58)),"Missing price",IF(C58&lt;=0,"Nonpositive price","OK")))))))))</f>
        <v>OK</v>
      </c>
      <c r="I58" s="136"/>
      <c r="J58" s="172"/>
      <c r="K58" s="172"/>
      <c r="L58" s="172"/>
      <c r="M58" s="136"/>
      <c r="N58" s="136">
        <f t="shared" si="1"/>
        <v>545.40620000000001</v>
      </c>
      <c r="O58" s="136" t="e">
        <f t="shared" si="2"/>
        <v>#N/A</v>
      </c>
    </row>
    <row r="59" spans="1:15" ht="22.05" customHeight="1" x14ac:dyDescent="0.3">
      <c r="A59" s="136">
        <v>15</v>
      </c>
      <c r="B59" s="165">
        <f>IF($A59&gt;MIN($A$10,$A$2),"",INDEX(DemoHistory[Date],$A59))</f>
        <v>46122</v>
      </c>
      <c r="C59" s="166">
        <f>IF(OR($A59&gt;MIN($A$10,$A$2),$A$5=""),"",INDEX(DemoHistory[],$A59,MATCH($A$5,DemoHistory[#Headers],0)))</f>
        <v>538.53480000000002</v>
      </c>
      <c r="D59" s="166">
        <f>IF($A59&gt;MIN($A$10,$A$2),"",IF(AND($A$12,$A$6=1,B59&lt;$A$7,$A$7&lt;=MAX(DemoHistory[Date])),$A$8,1))</f>
        <v>1</v>
      </c>
      <c r="E59" s="166">
        <f t="shared" si="0"/>
        <v>538.53480000000002</v>
      </c>
      <c r="F59" s="166" t="str">
        <f>IF($A59&gt;MIN($A$10,$A$2),"",IF($A59&lt;50,"n.a.",IF(COUNT(INDEX(StockDaily[Adjusted close],MAX(1,$A59-50+1)):E59)=50,AVERAGE(INDEX(StockDaily[Adjusted close],MAX(1,$A59-50+1)):E59),"n.a.")))</f>
        <v>n.a.</v>
      </c>
      <c r="G59" s="166" t="str">
        <f>IF($A59&gt;MIN($A$10,$A$2),"",IF($A59&lt;200,"n.a.",IF(COUNT(INDEX(StockDaily[Adjusted close],MAX(1,$A59-200+1)):E59)=200,AVERAGE(INDEX(StockDaily[Adjusted close],MAX(1,$A59-200+1)):E59),"n.a.")))</f>
        <v>n.a.</v>
      </c>
      <c r="H59" s="136" t="str">
        <f>IF($A59&gt;MIN($A$10,$A$2),"",IF($A$5="","Choose stock",IF(NOT($A$12),"Check split rule",IF(NOT(ISNUMBER(B59)),"Invalid date",IF(OR(B59&lt;=0,B59&lt;&gt;INT(B59)),"Invalid date",IF(COUNTIFS(DemoHistory[Date],B59)&lt;&gt;1,"Duplicate date",IF(AND($A59&gt;1,B59&lt;=B58),"Dates out of order",IF(NOT(ISNUMBER(C59)),"Missing price",IF(C59&lt;=0,"Nonpositive price","OK")))))))))</f>
        <v>OK</v>
      </c>
      <c r="I59" s="136"/>
      <c r="J59" s="172"/>
      <c r="K59" s="172"/>
      <c r="L59" s="172"/>
      <c r="M59" s="136"/>
      <c r="N59" s="136">
        <f t="shared" si="1"/>
        <v>538.53480000000002</v>
      </c>
      <c r="O59" s="136" t="e">
        <f t="shared" si="2"/>
        <v>#N/A</v>
      </c>
    </row>
    <row r="60" spans="1:15" ht="22.05" customHeight="1" x14ac:dyDescent="0.3">
      <c r="A60" s="136">
        <v>16</v>
      </c>
      <c r="B60" s="165">
        <f>IF($A60&gt;MIN($A$10,$A$2),"",INDEX(DemoHistory[Date],$A60))</f>
        <v>46125</v>
      </c>
      <c r="C60" s="166">
        <f>IF(OR($A60&gt;MIN($A$10,$A$2),$A$5=""),"",INDEX(DemoHistory[],$A60,MATCH($A$5,DemoHistory[#Headers],0)))</f>
        <v>525.8261</v>
      </c>
      <c r="D60" s="166">
        <f>IF($A60&gt;MIN($A$10,$A$2),"",IF(AND($A$12,$A$6=1,B60&lt;$A$7,$A$7&lt;=MAX(DemoHistory[Date])),$A$8,1))</f>
        <v>1</v>
      </c>
      <c r="E60" s="166">
        <f t="shared" si="0"/>
        <v>525.8261</v>
      </c>
      <c r="F60" s="166" t="str">
        <f>IF($A60&gt;MIN($A$10,$A$2),"",IF($A60&lt;50,"n.a.",IF(COUNT(INDEX(StockDaily[Adjusted close],MAX(1,$A60-50+1)):E60)=50,AVERAGE(INDEX(StockDaily[Adjusted close],MAX(1,$A60-50+1)):E60),"n.a.")))</f>
        <v>n.a.</v>
      </c>
      <c r="G60" s="166" t="str">
        <f>IF($A60&gt;MIN($A$10,$A$2),"",IF($A60&lt;200,"n.a.",IF(COUNT(INDEX(StockDaily[Adjusted close],MAX(1,$A60-200+1)):E60)=200,AVERAGE(INDEX(StockDaily[Adjusted close],MAX(1,$A60-200+1)):E60),"n.a.")))</f>
        <v>n.a.</v>
      </c>
      <c r="H60" s="136" t="str">
        <f>IF($A60&gt;MIN($A$10,$A$2),"",IF($A$5="","Choose stock",IF(NOT($A$12),"Check split rule",IF(NOT(ISNUMBER(B60)),"Invalid date",IF(OR(B60&lt;=0,B60&lt;&gt;INT(B60)),"Invalid date",IF(COUNTIFS(DemoHistory[Date],B60)&lt;&gt;1,"Duplicate date",IF(AND($A60&gt;1,B60&lt;=B59),"Dates out of order",IF(NOT(ISNUMBER(C60)),"Missing price",IF(C60&lt;=0,"Nonpositive price","OK")))))))))</f>
        <v>OK</v>
      </c>
      <c r="I60" s="136"/>
      <c r="J60" s="136"/>
      <c r="K60" s="136"/>
      <c r="L60" s="136"/>
      <c r="M60" s="136"/>
      <c r="N60" s="136">
        <f t="shared" si="1"/>
        <v>525.8261</v>
      </c>
      <c r="O60" s="136" t="e">
        <f t="shared" si="2"/>
        <v>#N/A</v>
      </c>
    </row>
    <row r="61" spans="1:15" ht="22.05" customHeight="1" x14ac:dyDescent="0.3">
      <c r="A61" s="136">
        <v>17</v>
      </c>
      <c r="B61" s="165">
        <f>IF($A61&gt;MIN($A$10,$A$2),"",INDEX(DemoHistory[Date],$A61))</f>
        <v>46126</v>
      </c>
      <c r="C61" s="166">
        <f>IF(OR($A61&gt;MIN($A$10,$A$2),$A$5=""),"",INDEX(DemoHistory[],$A61,MATCH($A$5,DemoHistory[#Headers],0)))</f>
        <v>531.84910000000002</v>
      </c>
      <c r="D61" s="166">
        <f>IF($A61&gt;MIN($A$10,$A$2),"",IF(AND($A$12,$A$6=1,B61&lt;$A$7,$A$7&lt;=MAX(DemoHistory[Date])),$A$8,1))</f>
        <v>1</v>
      </c>
      <c r="E61" s="166">
        <f t="shared" si="0"/>
        <v>531.84910000000002</v>
      </c>
      <c r="F61" s="166" t="str">
        <f>IF($A61&gt;MIN($A$10,$A$2),"",IF($A61&lt;50,"n.a.",IF(COUNT(INDEX(StockDaily[Adjusted close],MAX(1,$A61-50+1)):E61)=50,AVERAGE(INDEX(StockDaily[Adjusted close],MAX(1,$A61-50+1)):E61),"n.a.")))</f>
        <v>n.a.</v>
      </c>
      <c r="G61" s="166" t="str">
        <f>IF($A61&gt;MIN($A$10,$A$2),"",IF($A61&lt;200,"n.a.",IF(COUNT(INDEX(StockDaily[Adjusted close],MAX(1,$A61-200+1)):E61)=200,AVERAGE(INDEX(StockDaily[Adjusted close],MAX(1,$A61-200+1)):E61),"n.a.")))</f>
        <v>n.a.</v>
      </c>
      <c r="H61" s="136" t="str">
        <f>IF($A61&gt;MIN($A$10,$A$2),"",IF($A$5="","Choose stock",IF(NOT($A$12),"Check split rule",IF(NOT(ISNUMBER(B61)),"Invalid date",IF(OR(B61&lt;=0,B61&lt;&gt;INT(B61)),"Invalid date",IF(COUNTIFS(DemoHistory[Date],B61)&lt;&gt;1,"Duplicate date",IF(AND($A61&gt;1,B61&lt;=B60),"Dates out of order",IF(NOT(ISNUMBER(C61)),"Missing price",IF(C61&lt;=0,"Nonpositive price","OK")))))))))</f>
        <v>OK</v>
      </c>
      <c r="I61" s="136"/>
      <c r="J61" s="136"/>
      <c r="K61" s="136"/>
      <c r="L61" s="136"/>
      <c r="M61" s="136"/>
      <c r="N61" s="136">
        <f t="shared" si="1"/>
        <v>531.84910000000002</v>
      </c>
      <c r="O61" s="136" t="e">
        <f t="shared" si="2"/>
        <v>#N/A</v>
      </c>
    </row>
    <row r="62" spans="1:15" ht="22.05" customHeight="1" x14ac:dyDescent="0.3">
      <c r="A62" s="136">
        <v>18</v>
      </c>
      <c r="B62" s="165">
        <f>IF($A62&gt;MIN($A$10,$A$2),"",INDEX(DemoHistory[Date],$A62))</f>
        <v>46127</v>
      </c>
      <c r="C62" s="166">
        <f>IF(OR($A62&gt;MIN($A$10,$A$2),$A$5=""),"",INDEX(DemoHistory[],$A62,MATCH($A$5,DemoHistory[#Headers],0)))</f>
        <v>528.66010000000006</v>
      </c>
      <c r="D62" s="166">
        <f>IF($A62&gt;MIN($A$10,$A$2),"",IF(AND($A$12,$A$6=1,B62&lt;$A$7,$A$7&lt;=MAX(DemoHistory[Date])),$A$8,1))</f>
        <v>1</v>
      </c>
      <c r="E62" s="166">
        <f t="shared" si="0"/>
        <v>528.66010000000006</v>
      </c>
      <c r="F62" s="166" t="str">
        <f>IF($A62&gt;MIN($A$10,$A$2),"",IF($A62&lt;50,"n.a.",IF(COUNT(INDEX(StockDaily[Adjusted close],MAX(1,$A62-50+1)):E62)=50,AVERAGE(INDEX(StockDaily[Adjusted close],MAX(1,$A62-50+1)):E62),"n.a.")))</f>
        <v>n.a.</v>
      </c>
      <c r="G62" s="166" t="str">
        <f>IF($A62&gt;MIN($A$10,$A$2),"",IF($A62&lt;200,"n.a.",IF(COUNT(INDEX(StockDaily[Adjusted close],MAX(1,$A62-200+1)):E62)=200,AVERAGE(INDEX(StockDaily[Adjusted close],MAX(1,$A62-200+1)):E62),"n.a.")))</f>
        <v>n.a.</v>
      </c>
      <c r="H62" s="136" t="str">
        <f>IF($A62&gt;MIN($A$10,$A$2),"",IF($A$5="","Choose stock",IF(NOT($A$12),"Check split rule",IF(NOT(ISNUMBER(B62)),"Invalid date",IF(OR(B62&lt;=0,B62&lt;&gt;INT(B62)),"Invalid date",IF(COUNTIFS(DemoHistory[Date],B62)&lt;&gt;1,"Duplicate date",IF(AND($A62&gt;1,B62&lt;=B61),"Dates out of order",IF(NOT(ISNUMBER(C62)),"Missing price",IF(C62&lt;=0,"Nonpositive price","OK")))))))))</f>
        <v>OK</v>
      </c>
      <c r="I62" s="136"/>
      <c r="J62" s="136"/>
      <c r="K62" s="136"/>
      <c r="L62" s="136"/>
      <c r="M62" s="136"/>
      <c r="N62" s="136">
        <f t="shared" si="1"/>
        <v>528.66010000000006</v>
      </c>
      <c r="O62" s="136" t="e">
        <f t="shared" si="2"/>
        <v>#N/A</v>
      </c>
    </row>
    <row r="63" spans="1:15" ht="22.05" customHeight="1" x14ac:dyDescent="0.3">
      <c r="A63" s="136">
        <v>19</v>
      </c>
      <c r="B63" s="165">
        <f>IF($A63&gt;MIN($A$10,$A$2),"",INDEX(DemoHistory[Date],$A63))</f>
        <v>46128</v>
      </c>
      <c r="C63" s="166">
        <f>IF(OR($A63&gt;MIN($A$10,$A$2),$A$5=""),"",INDEX(DemoHistory[],$A63,MATCH($A$5,DemoHistory[#Headers],0)))</f>
        <v>528.77170000000001</v>
      </c>
      <c r="D63" s="166">
        <f>IF($A63&gt;MIN($A$10,$A$2),"",IF(AND($A$12,$A$6=1,B63&lt;$A$7,$A$7&lt;=MAX(DemoHistory[Date])),$A$8,1))</f>
        <v>1</v>
      </c>
      <c r="E63" s="166">
        <f t="shared" si="0"/>
        <v>528.77170000000001</v>
      </c>
      <c r="F63" s="166" t="str">
        <f>IF($A63&gt;MIN($A$10,$A$2),"",IF($A63&lt;50,"n.a.",IF(COUNT(INDEX(StockDaily[Adjusted close],MAX(1,$A63-50+1)):E63)=50,AVERAGE(INDEX(StockDaily[Adjusted close],MAX(1,$A63-50+1)):E63),"n.a.")))</f>
        <v>n.a.</v>
      </c>
      <c r="G63" s="166" t="str">
        <f>IF($A63&gt;MIN($A$10,$A$2),"",IF($A63&lt;200,"n.a.",IF(COUNT(INDEX(StockDaily[Adjusted close],MAX(1,$A63-200+1)):E63)=200,AVERAGE(INDEX(StockDaily[Adjusted close],MAX(1,$A63-200+1)):E63),"n.a.")))</f>
        <v>n.a.</v>
      </c>
      <c r="H63" s="136" t="str">
        <f>IF($A63&gt;MIN($A$10,$A$2),"",IF($A$5="","Choose stock",IF(NOT($A$12),"Check split rule",IF(NOT(ISNUMBER(B63)),"Invalid date",IF(OR(B63&lt;=0,B63&lt;&gt;INT(B63)),"Invalid date",IF(COUNTIFS(DemoHistory[Date],B63)&lt;&gt;1,"Duplicate date",IF(AND($A63&gt;1,B63&lt;=B62),"Dates out of order",IF(NOT(ISNUMBER(C63)),"Missing price",IF(C63&lt;=0,"Nonpositive price","OK")))))))))</f>
        <v>OK</v>
      </c>
      <c r="I63" s="136"/>
      <c r="J63" s="136"/>
      <c r="K63" s="136"/>
      <c r="L63" s="136"/>
      <c r="M63" s="136"/>
      <c r="N63" s="136">
        <f t="shared" si="1"/>
        <v>528.77170000000001</v>
      </c>
      <c r="O63" s="136" t="e">
        <f t="shared" si="2"/>
        <v>#N/A</v>
      </c>
    </row>
    <row r="64" spans="1:15" ht="22.05" customHeight="1" x14ac:dyDescent="0.3">
      <c r="A64" s="136">
        <v>20</v>
      </c>
      <c r="B64" s="165">
        <f>IF($A64&gt;MIN($A$10,$A$2),"",INDEX(DemoHistory[Date],$A64))</f>
        <v>46129</v>
      </c>
      <c r="C64" s="166">
        <f>IF(OR($A64&gt;MIN($A$10,$A$2),$A$5=""),"",INDEX(DemoHistory[],$A64,MATCH($A$5,DemoHistory[#Headers],0)))</f>
        <v>528.05169999999998</v>
      </c>
      <c r="D64" s="166">
        <f>IF($A64&gt;MIN($A$10,$A$2),"",IF(AND($A$12,$A$6=1,B64&lt;$A$7,$A$7&lt;=MAX(DemoHistory[Date])),$A$8,1))</f>
        <v>1</v>
      </c>
      <c r="E64" s="166">
        <f t="shared" si="0"/>
        <v>528.05169999999998</v>
      </c>
      <c r="F64" s="166" t="str">
        <f>IF($A64&gt;MIN($A$10,$A$2),"",IF($A64&lt;50,"n.a.",IF(COUNT(INDEX(StockDaily[Adjusted close],MAX(1,$A64-50+1)):E64)=50,AVERAGE(INDEX(StockDaily[Adjusted close],MAX(1,$A64-50+1)):E64),"n.a.")))</f>
        <v>n.a.</v>
      </c>
      <c r="G64" s="166" t="str">
        <f>IF($A64&gt;MIN($A$10,$A$2),"",IF($A64&lt;200,"n.a.",IF(COUNT(INDEX(StockDaily[Adjusted close],MAX(1,$A64-200+1)):E64)=200,AVERAGE(INDEX(StockDaily[Adjusted close],MAX(1,$A64-200+1)):E64),"n.a.")))</f>
        <v>n.a.</v>
      </c>
      <c r="H64" s="136" t="str">
        <f>IF($A64&gt;MIN($A$10,$A$2),"",IF($A$5="","Choose stock",IF(NOT($A$12),"Check split rule",IF(NOT(ISNUMBER(B64)),"Invalid date",IF(OR(B64&lt;=0,B64&lt;&gt;INT(B64)),"Invalid date",IF(COUNTIFS(DemoHistory[Date],B64)&lt;&gt;1,"Duplicate date",IF(AND($A64&gt;1,B64&lt;=B63),"Dates out of order",IF(NOT(ISNUMBER(C64)),"Missing price",IF(C64&lt;=0,"Nonpositive price","OK")))))))))</f>
        <v>OK</v>
      </c>
      <c r="I64" s="136"/>
      <c r="J64" s="136"/>
      <c r="K64" s="136"/>
      <c r="L64" s="136"/>
      <c r="M64" s="136"/>
      <c r="N64" s="136">
        <f t="shared" si="1"/>
        <v>528.05169999999998</v>
      </c>
      <c r="O64" s="136" t="e">
        <f t="shared" si="2"/>
        <v>#N/A</v>
      </c>
    </row>
    <row r="65" spans="1:15" ht="22.05" customHeight="1" x14ac:dyDescent="0.3">
      <c r="A65" s="136">
        <v>21</v>
      </c>
      <c r="B65" s="165">
        <f>IF($A65&gt;MIN($A$10,$A$2),"",INDEX(DemoHistory[Date],$A65))</f>
        <v>46132</v>
      </c>
      <c r="C65" s="166">
        <f>IF(OR($A65&gt;MIN($A$10,$A$2),$A$5=""),"",INDEX(DemoHistory[],$A65,MATCH($A$5,DemoHistory[#Headers],0)))</f>
        <v>524.89509999999996</v>
      </c>
      <c r="D65" s="166">
        <f>IF($A65&gt;MIN($A$10,$A$2),"",IF(AND($A$12,$A$6=1,B65&lt;$A$7,$A$7&lt;=MAX(DemoHistory[Date])),$A$8,1))</f>
        <v>1</v>
      </c>
      <c r="E65" s="166">
        <f t="shared" si="0"/>
        <v>524.89509999999996</v>
      </c>
      <c r="F65" s="166" t="str">
        <f>IF($A65&gt;MIN($A$10,$A$2),"",IF($A65&lt;50,"n.a.",IF(COUNT(INDEX(StockDaily[Adjusted close],MAX(1,$A65-50+1)):E65)=50,AVERAGE(INDEX(StockDaily[Adjusted close],MAX(1,$A65-50+1)):E65),"n.a.")))</f>
        <v>n.a.</v>
      </c>
      <c r="G65" s="166" t="str">
        <f>IF($A65&gt;MIN($A$10,$A$2),"",IF($A65&lt;200,"n.a.",IF(COUNT(INDEX(StockDaily[Adjusted close],MAX(1,$A65-200+1)):E65)=200,AVERAGE(INDEX(StockDaily[Adjusted close],MAX(1,$A65-200+1)):E65),"n.a.")))</f>
        <v>n.a.</v>
      </c>
      <c r="H65" s="136" t="str">
        <f>IF($A65&gt;MIN($A$10,$A$2),"",IF($A$5="","Choose stock",IF(NOT($A$12),"Check split rule",IF(NOT(ISNUMBER(B65)),"Invalid date",IF(OR(B65&lt;=0,B65&lt;&gt;INT(B65)),"Invalid date",IF(COUNTIFS(DemoHistory[Date],B65)&lt;&gt;1,"Duplicate date",IF(AND($A65&gt;1,B65&lt;=B64),"Dates out of order",IF(NOT(ISNUMBER(C65)),"Missing price",IF(C65&lt;=0,"Nonpositive price","OK")))))))))</f>
        <v>OK</v>
      </c>
      <c r="I65" s="136"/>
      <c r="J65" s="136"/>
      <c r="K65" s="136"/>
      <c r="L65" s="136"/>
      <c r="M65" s="136"/>
      <c r="N65" s="136">
        <f t="shared" si="1"/>
        <v>524.89509999999996</v>
      </c>
      <c r="O65" s="136" t="e">
        <f t="shared" si="2"/>
        <v>#N/A</v>
      </c>
    </row>
    <row r="66" spans="1:15" ht="22.05" customHeight="1" x14ac:dyDescent="0.3">
      <c r="A66" s="136">
        <v>22</v>
      </c>
      <c r="B66" s="165">
        <f>IF($A66&gt;MIN($A$10,$A$2),"",INDEX(DemoHistory[Date],$A66))</f>
        <v>46133</v>
      </c>
      <c r="C66" s="166">
        <f>IF(OR($A66&gt;MIN($A$10,$A$2),$A$5=""),"",INDEX(DemoHistory[],$A66,MATCH($A$5,DemoHistory[#Headers],0)))</f>
        <v>522.87310000000002</v>
      </c>
      <c r="D66" s="166">
        <f>IF($A66&gt;MIN($A$10,$A$2),"",IF(AND($A$12,$A$6=1,B66&lt;$A$7,$A$7&lt;=MAX(DemoHistory[Date])),$A$8,1))</f>
        <v>1</v>
      </c>
      <c r="E66" s="166">
        <f t="shared" si="0"/>
        <v>522.87310000000002</v>
      </c>
      <c r="F66" s="166" t="str">
        <f>IF($A66&gt;MIN($A$10,$A$2),"",IF($A66&lt;50,"n.a.",IF(COUNT(INDEX(StockDaily[Adjusted close],MAX(1,$A66-50+1)):E66)=50,AVERAGE(INDEX(StockDaily[Adjusted close],MAX(1,$A66-50+1)):E66),"n.a.")))</f>
        <v>n.a.</v>
      </c>
      <c r="G66" s="166" t="str">
        <f>IF($A66&gt;MIN($A$10,$A$2),"",IF($A66&lt;200,"n.a.",IF(COUNT(INDEX(StockDaily[Adjusted close],MAX(1,$A66-200+1)):E66)=200,AVERAGE(INDEX(StockDaily[Adjusted close],MAX(1,$A66-200+1)):E66),"n.a.")))</f>
        <v>n.a.</v>
      </c>
      <c r="H66" s="136" t="str">
        <f>IF($A66&gt;MIN($A$10,$A$2),"",IF($A$5="","Choose stock",IF(NOT($A$12),"Check split rule",IF(NOT(ISNUMBER(B66)),"Invalid date",IF(OR(B66&lt;=0,B66&lt;&gt;INT(B66)),"Invalid date",IF(COUNTIFS(DemoHistory[Date],B66)&lt;&gt;1,"Duplicate date",IF(AND($A66&gt;1,B66&lt;=B65),"Dates out of order",IF(NOT(ISNUMBER(C66)),"Missing price",IF(C66&lt;=0,"Nonpositive price","OK")))))))))</f>
        <v>OK</v>
      </c>
      <c r="I66" s="136"/>
      <c r="J66" s="136"/>
      <c r="K66" s="136"/>
      <c r="L66" s="136"/>
      <c r="M66" s="136"/>
      <c r="N66" s="136">
        <f t="shared" si="1"/>
        <v>522.87310000000002</v>
      </c>
      <c r="O66" s="136" t="e">
        <f t="shared" si="2"/>
        <v>#N/A</v>
      </c>
    </row>
    <row r="67" spans="1:15" ht="22.05" customHeight="1" x14ac:dyDescent="0.3">
      <c r="A67" s="136">
        <v>23</v>
      </c>
      <c r="B67" s="165">
        <f>IF($A67&gt;MIN($A$10,$A$2),"",INDEX(DemoHistory[Date],$A67))</f>
        <v>46134</v>
      </c>
      <c r="C67" s="166">
        <f>IF(OR($A67&gt;MIN($A$10,$A$2),$A$5=""),"",INDEX(DemoHistory[],$A67,MATCH($A$5,DemoHistory[#Headers],0)))</f>
        <v>523.24069999999995</v>
      </c>
      <c r="D67" s="166">
        <f>IF($A67&gt;MIN($A$10,$A$2),"",IF(AND($A$12,$A$6=1,B67&lt;$A$7,$A$7&lt;=MAX(DemoHistory[Date])),$A$8,1))</f>
        <v>1</v>
      </c>
      <c r="E67" s="166">
        <f t="shared" si="0"/>
        <v>523.24069999999995</v>
      </c>
      <c r="F67" s="166" t="str">
        <f>IF($A67&gt;MIN($A$10,$A$2),"",IF($A67&lt;50,"n.a.",IF(COUNT(INDEX(StockDaily[Adjusted close],MAX(1,$A67-50+1)):E67)=50,AVERAGE(INDEX(StockDaily[Adjusted close],MAX(1,$A67-50+1)):E67),"n.a.")))</f>
        <v>n.a.</v>
      </c>
      <c r="G67" s="166" t="str">
        <f>IF($A67&gt;MIN($A$10,$A$2),"",IF($A67&lt;200,"n.a.",IF(COUNT(INDEX(StockDaily[Adjusted close],MAX(1,$A67-200+1)):E67)=200,AVERAGE(INDEX(StockDaily[Adjusted close],MAX(1,$A67-200+1)):E67),"n.a.")))</f>
        <v>n.a.</v>
      </c>
      <c r="H67" s="136" t="str">
        <f>IF($A67&gt;MIN($A$10,$A$2),"",IF($A$5="","Choose stock",IF(NOT($A$12),"Check split rule",IF(NOT(ISNUMBER(B67)),"Invalid date",IF(OR(B67&lt;=0,B67&lt;&gt;INT(B67)),"Invalid date",IF(COUNTIFS(DemoHistory[Date],B67)&lt;&gt;1,"Duplicate date",IF(AND($A67&gt;1,B67&lt;=B66),"Dates out of order",IF(NOT(ISNUMBER(C67)),"Missing price",IF(C67&lt;=0,"Nonpositive price","OK")))))))))</f>
        <v>OK</v>
      </c>
      <c r="I67" s="136"/>
      <c r="J67" s="136"/>
      <c r="K67" s="136"/>
      <c r="L67" s="136"/>
      <c r="M67" s="136"/>
      <c r="N67" s="136">
        <f t="shared" si="1"/>
        <v>523.24069999999995</v>
      </c>
      <c r="O67" s="136" t="e">
        <f t="shared" si="2"/>
        <v>#N/A</v>
      </c>
    </row>
    <row r="68" spans="1:15" ht="22.05" customHeight="1" x14ac:dyDescent="0.3">
      <c r="A68" s="136">
        <v>24</v>
      </c>
      <c r="B68" s="165">
        <f>IF($A68&gt;MIN($A$10,$A$2),"",INDEX(DemoHistory[Date],$A68))</f>
        <v>46135</v>
      </c>
      <c r="C68" s="166">
        <f>IF(OR($A68&gt;MIN($A$10,$A$2),$A$5=""),"",INDEX(DemoHistory[],$A68,MATCH($A$5,DemoHistory[#Headers],0)))</f>
        <v>520.38840000000005</v>
      </c>
      <c r="D68" s="166">
        <f>IF($A68&gt;MIN($A$10,$A$2),"",IF(AND($A$12,$A$6=1,B68&lt;$A$7,$A$7&lt;=MAX(DemoHistory[Date])),$A$8,1))</f>
        <v>1</v>
      </c>
      <c r="E68" s="166">
        <f t="shared" si="0"/>
        <v>520.38840000000005</v>
      </c>
      <c r="F68" s="166" t="str">
        <f>IF($A68&gt;MIN($A$10,$A$2),"",IF($A68&lt;50,"n.a.",IF(COUNT(INDEX(StockDaily[Adjusted close],MAX(1,$A68-50+1)):E68)=50,AVERAGE(INDEX(StockDaily[Adjusted close],MAX(1,$A68-50+1)):E68),"n.a.")))</f>
        <v>n.a.</v>
      </c>
      <c r="G68" s="166" t="str">
        <f>IF($A68&gt;MIN($A$10,$A$2),"",IF($A68&lt;200,"n.a.",IF(COUNT(INDEX(StockDaily[Adjusted close],MAX(1,$A68-200+1)):E68)=200,AVERAGE(INDEX(StockDaily[Adjusted close],MAX(1,$A68-200+1)):E68),"n.a.")))</f>
        <v>n.a.</v>
      </c>
      <c r="H68" s="136" t="str">
        <f>IF($A68&gt;MIN($A$10,$A$2),"",IF($A$5="","Choose stock",IF(NOT($A$12),"Check split rule",IF(NOT(ISNUMBER(B68)),"Invalid date",IF(OR(B68&lt;=0,B68&lt;&gt;INT(B68)),"Invalid date",IF(COUNTIFS(DemoHistory[Date],B68)&lt;&gt;1,"Duplicate date",IF(AND($A68&gt;1,B68&lt;=B67),"Dates out of order",IF(NOT(ISNUMBER(C68)),"Missing price",IF(C68&lt;=0,"Nonpositive price","OK")))))))))</f>
        <v>OK</v>
      </c>
      <c r="I68" s="136"/>
      <c r="J68" s="136"/>
      <c r="K68" s="136"/>
      <c r="L68" s="136"/>
      <c r="M68" s="136"/>
      <c r="N68" s="136">
        <f t="shared" si="1"/>
        <v>520.38840000000005</v>
      </c>
      <c r="O68" s="136" t="e">
        <f t="shared" si="2"/>
        <v>#N/A</v>
      </c>
    </row>
    <row r="69" spans="1:15" ht="22.05" customHeight="1" x14ac:dyDescent="0.3">
      <c r="A69" s="136">
        <v>25</v>
      </c>
      <c r="B69" s="165">
        <f>IF($A69&gt;MIN($A$10,$A$2),"",INDEX(DemoHistory[Date],$A69))</f>
        <v>46136</v>
      </c>
      <c r="C69" s="166">
        <f>IF(OR($A69&gt;MIN($A$10,$A$2),$A$5=""),"",INDEX(DemoHistory[],$A69,MATCH($A$5,DemoHistory[#Headers],0)))</f>
        <v>521.20579999999995</v>
      </c>
      <c r="D69" s="166">
        <f>IF($A69&gt;MIN($A$10,$A$2),"",IF(AND($A$12,$A$6=1,B69&lt;$A$7,$A$7&lt;=MAX(DemoHistory[Date])),$A$8,1))</f>
        <v>1</v>
      </c>
      <c r="E69" s="166">
        <f t="shared" si="0"/>
        <v>521.20579999999995</v>
      </c>
      <c r="F69" s="166" t="str">
        <f>IF($A69&gt;MIN($A$10,$A$2),"",IF($A69&lt;50,"n.a.",IF(COUNT(INDEX(StockDaily[Adjusted close],MAX(1,$A69-50+1)):E69)=50,AVERAGE(INDEX(StockDaily[Adjusted close],MAX(1,$A69-50+1)):E69),"n.a.")))</f>
        <v>n.a.</v>
      </c>
      <c r="G69" s="166" t="str">
        <f>IF($A69&gt;MIN($A$10,$A$2),"",IF($A69&lt;200,"n.a.",IF(COUNT(INDEX(StockDaily[Adjusted close],MAX(1,$A69-200+1)):E69)=200,AVERAGE(INDEX(StockDaily[Adjusted close],MAX(1,$A69-200+1)):E69),"n.a.")))</f>
        <v>n.a.</v>
      </c>
      <c r="H69" s="136" t="str">
        <f>IF($A69&gt;MIN($A$10,$A$2),"",IF($A$5="","Choose stock",IF(NOT($A$12),"Check split rule",IF(NOT(ISNUMBER(B69)),"Invalid date",IF(OR(B69&lt;=0,B69&lt;&gt;INT(B69)),"Invalid date",IF(COUNTIFS(DemoHistory[Date],B69)&lt;&gt;1,"Duplicate date",IF(AND($A69&gt;1,B69&lt;=B68),"Dates out of order",IF(NOT(ISNUMBER(C69)),"Missing price",IF(C69&lt;=0,"Nonpositive price","OK")))))))))</f>
        <v>OK</v>
      </c>
      <c r="I69" s="136"/>
      <c r="J69" s="136"/>
      <c r="K69" s="136"/>
      <c r="L69" s="136"/>
      <c r="M69" s="136"/>
      <c r="N69" s="136">
        <f t="shared" si="1"/>
        <v>521.20579999999995</v>
      </c>
      <c r="O69" s="136" t="e">
        <f t="shared" si="2"/>
        <v>#N/A</v>
      </c>
    </row>
    <row r="70" spans="1:15" ht="22.05" customHeight="1" x14ac:dyDescent="0.3">
      <c r="A70" s="136">
        <v>26</v>
      </c>
      <c r="B70" s="165">
        <f>IF($A70&gt;MIN($A$10,$A$2),"",INDEX(DemoHistory[Date],$A70))</f>
        <v>46139</v>
      </c>
      <c r="C70" s="166">
        <f>IF(OR($A70&gt;MIN($A$10,$A$2),$A$5=""),"",INDEX(DemoHistory[],$A70,MATCH($A$5,DemoHistory[#Headers],0)))</f>
        <v>515.25969999999995</v>
      </c>
      <c r="D70" s="166">
        <f>IF($A70&gt;MIN($A$10,$A$2),"",IF(AND($A$12,$A$6=1,B70&lt;$A$7,$A$7&lt;=MAX(DemoHistory[Date])),$A$8,1))</f>
        <v>1</v>
      </c>
      <c r="E70" s="166">
        <f t="shared" si="0"/>
        <v>515.25969999999995</v>
      </c>
      <c r="F70" s="166" t="str">
        <f>IF($A70&gt;MIN($A$10,$A$2),"",IF($A70&lt;50,"n.a.",IF(COUNT(INDEX(StockDaily[Adjusted close],MAX(1,$A70-50+1)):E70)=50,AVERAGE(INDEX(StockDaily[Adjusted close],MAX(1,$A70-50+1)):E70),"n.a.")))</f>
        <v>n.a.</v>
      </c>
      <c r="G70" s="166" t="str">
        <f>IF($A70&gt;MIN($A$10,$A$2),"",IF($A70&lt;200,"n.a.",IF(COUNT(INDEX(StockDaily[Adjusted close],MAX(1,$A70-200+1)):E70)=200,AVERAGE(INDEX(StockDaily[Adjusted close],MAX(1,$A70-200+1)):E70),"n.a.")))</f>
        <v>n.a.</v>
      </c>
      <c r="H70" s="136" t="str">
        <f>IF($A70&gt;MIN($A$10,$A$2),"",IF($A$5="","Choose stock",IF(NOT($A$12),"Check split rule",IF(NOT(ISNUMBER(B70)),"Invalid date",IF(OR(B70&lt;=0,B70&lt;&gt;INT(B70)),"Invalid date",IF(COUNTIFS(DemoHistory[Date],B70)&lt;&gt;1,"Duplicate date",IF(AND($A70&gt;1,B70&lt;=B69),"Dates out of order",IF(NOT(ISNUMBER(C70)),"Missing price",IF(C70&lt;=0,"Nonpositive price","OK")))))))))</f>
        <v>OK</v>
      </c>
      <c r="I70" s="136"/>
      <c r="J70" s="136"/>
      <c r="K70" s="136"/>
      <c r="L70" s="136"/>
      <c r="M70" s="136"/>
      <c r="N70" s="136">
        <f t="shared" si="1"/>
        <v>515.25969999999995</v>
      </c>
      <c r="O70" s="136" t="e">
        <f t="shared" si="2"/>
        <v>#N/A</v>
      </c>
    </row>
    <row r="71" spans="1:15" ht="22.05" customHeight="1" x14ac:dyDescent="0.3">
      <c r="A71" s="136">
        <v>27</v>
      </c>
      <c r="B71" s="165">
        <f>IF($A71&gt;MIN($A$10,$A$2),"",INDEX(DemoHistory[Date],$A71))</f>
        <v>46140</v>
      </c>
      <c r="C71" s="166">
        <f>IF(OR($A71&gt;MIN($A$10,$A$2),$A$5=""),"",INDEX(DemoHistory[],$A71,MATCH($A$5,DemoHistory[#Headers],0)))</f>
        <v>519.63440000000003</v>
      </c>
      <c r="D71" s="166">
        <f>IF($A71&gt;MIN($A$10,$A$2),"",IF(AND($A$12,$A$6=1,B71&lt;$A$7,$A$7&lt;=MAX(DemoHistory[Date])),$A$8,1))</f>
        <v>1</v>
      </c>
      <c r="E71" s="166">
        <f t="shared" si="0"/>
        <v>519.63440000000003</v>
      </c>
      <c r="F71" s="166" t="str">
        <f>IF($A71&gt;MIN($A$10,$A$2),"",IF($A71&lt;50,"n.a.",IF(COUNT(INDEX(StockDaily[Adjusted close],MAX(1,$A71-50+1)):E71)=50,AVERAGE(INDEX(StockDaily[Adjusted close],MAX(1,$A71-50+1)):E71),"n.a.")))</f>
        <v>n.a.</v>
      </c>
      <c r="G71" s="166" t="str">
        <f>IF($A71&gt;MIN($A$10,$A$2),"",IF($A71&lt;200,"n.a.",IF(COUNT(INDEX(StockDaily[Adjusted close],MAX(1,$A71-200+1)):E71)=200,AVERAGE(INDEX(StockDaily[Adjusted close],MAX(1,$A71-200+1)):E71),"n.a.")))</f>
        <v>n.a.</v>
      </c>
      <c r="H71" s="136" t="str">
        <f>IF($A71&gt;MIN($A$10,$A$2),"",IF($A$5="","Choose stock",IF(NOT($A$12),"Check split rule",IF(NOT(ISNUMBER(B71)),"Invalid date",IF(OR(B71&lt;=0,B71&lt;&gt;INT(B71)),"Invalid date",IF(COUNTIFS(DemoHistory[Date],B71)&lt;&gt;1,"Duplicate date",IF(AND($A71&gt;1,B71&lt;=B70),"Dates out of order",IF(NOT(ISNUMBER(C71)),"Missing price",IF(C71&lt;=0,"Nonpositive price","OK")))))))))</f>
        <v>OK</v>
      </c>
      <c r="I71" s="136"/>
      <c r="J71" s="136"/>
      <c r="K71" s="136"/>
      <c r="L71" s="136"/>
      <c r="M71" s="136"/>
      <c r="N71" s="136">
        <f t="shared" si="1"/>
        <v>519.63440000000003</v>
      </c>
      <c r="O71" s="136" t="e">
        <f t="shared" si="2"/>
        <v>#N/A</v>
      </c>
    </row>
    <row r="72" spans="1:15" ht="22.05" customHeight="1" x14ac:dyDescent="0.3">
      <c r="A72" s="136">
        <v>28</v>
      </c>
      <c r="B72" s="165">
        <f>IF($A72&gt;MIN($A$10,$A$2),"",INDEX(DemoHistory[Date],$A72))</f>
        <v>46141</v>
      </c>
      <c r="C72" s="166">
        <f>IF(OR($A72&gt;MIN($A$10,$A$2),$A$5=""),"",INDEX(DemoHistory[],$A72,MATCH($A$5,DemoHistory[#Headers],0)))</f>
        <v>518.53510000000006</v>
      </c>
      <c r="D72" s="166">
        <f>IF($A72&gt;MIN($A$10,$A$2),"",IF(AND($A$12,$A$6=1,B72&lt;$A$7,$A$7&lt;=MAX(DemoHistory[Date])),$A$8,1))</f>
        <v>1</v>
      </c>
      <c r="E72" s="166">
        <f t="shared" si="0"/>
        <v>518.53510000000006</v>
      </c>
      <c r="F72" s="166" t="str">
        <f>IF($A72&gt;MIN($A$10,$A$2),"",IF($A72&lt;50,"n.a.",IF(COUNT(INDEX(StockDaily[Adjusted close],MAX(1,$A72-50+1)):E72)=50,AVERAGE(INDEX(StockDaily[Adjusted close],MAX(1,$A72-50+1)):E72),"n.a.")))</f>
        <v>n.a.</v>
      </c>
      <c r="G72" s="166" t="str">
        <f>IF($A72&gt;MIN($A$10,$A$2),"",IF($A72&lt;200,"n.a.",IF(COUNT(INDEX(StockDaily[Adjusted close],MAX(1,$A72-200+1)):E72)=200,AVERAGE(INDEX(StockDaily[Adjusted close],MAX(1,$A72-200+1)):E72),"n.a.")))</f>
        <v>n.a.</v>
      </c>
      <c r="H72" s="136" t="str">
        <f>IF($A72&gt;MIN($A$10,$A$2),"",IF($A$5="","Choose stock",IF(NOT($A$12),"Check split rule",IF(NOT(ISNUMBER(B72)),"Invalid date",IF(OR(B72&lt;=0,B72&lt;&gt;INT(B72)),"Invalid date",IF(COUNTIFS(DemoHistory[Date],B72)&lt;&gt;1,"Duplicate date",IF(AND($A72&gt;1,B72&lt;=B71),"Dates out of order",IF(NOT(ISNUMBER(C72)),"Missing price",IF(C72&lt;=0,"Nonpositive price","OK")))))))))</f>
        <v>OK</v>
      </c>
      <c r="I72" s="136"/>
      <c r="J72" s="136"/>
      <c r="K72" s="136"/>
      <c r="L72" s="136"/>
      <c r="M72" s="136"/>
      <c r="N72" s="136">
        <f t="shared" si="1"/>
        <v>518.53510000000006</v>
      </c>
      <c r="O72" s="136" t="e">
        <f t="shared" si="2"/>
        <v>#N/A</v>
      </c>
    </row>
    <row r="73" spans="1:15" ht="22.05" customHeight="1" x14ac:dyDescent="0.3">
      <c r="A73" s="136">
        <v>29</v>
      </c>
      <c r="B73" s="165">
        <f>IF($A73&gt;MIN($A$10,$A$2),"",INDEX(DemoHistory[Date],$A73))</f>
        <v>46142</v>
      </c>
      <c r="C73" s="166">
        <f>IF(OR($A73&gt;MIN($A$10,$A$2),$A$5=""),"",INDEX(DemoHistory[],$A73,MATCH($A$5,DemoHistory[#Headers],0)))</f>
        <v>521.17280000000005</v>
      </c>
      <c r="D73" s="166">
        <f>IF($A73&gt;MIN($A$10,$A$2),"",IF(AND($A$12,$A$6=1,B73&lt;$A$7,$A$7&lt;=MAX(DemoHistory[Date])),$A$8,1))</f>
        <v>1</v>
      </c>
      <c r="E73" s="166">
        <f t="shared" si="0"/>
        <v>521.17280000000005</v>
      </c>
      <c r="F73" s="166" t="str">
        <f>IF($A73&gt;MIN($A$10,$A$2),"",IF($A73&lt;50,"n.a.",IF(COUNT(INDEX(StockDaily[Adjusted close],MAX(1,$A73-50+1)):E73)=50,AVERAGE(INDEX(StockDaily[Adjusted close],MAX(1,$A73-50+1)):E73),"n.a.")))</f>
        <v>n.a.</v>
      </c>
      <c r="G73" s="166" t="str">
        <f>IF($A73&gt;MIN($A$10,$A$2),"",IF($A73&lt;200,"n.a.",IF(COUNT(INDEX(StockDaily[Adjusted close],MAX(1,$A73-200+1)):E73)=200,AVERAGE(INDEX(StockDaily[Adjusted close],MAX(1,$A73-200+1)):E73),"n.a.")))</f>
        <v>n.a.</v>
      </c>
      <c r="H73" s="136" t="str">
        <f>IF($A73&gt;MIN($A$10,$A$2),"",IF($A$5="","Choose stock",IF(NOT($A$12),"Check split rule",IF(NOT(ISNUMBER(B73)),"Invalid date",IF(OR(B73&lt;=0,B73&lt;&gt;INT(B73)),"Invalid date",IF(COUNTIFS(DemoHistory[Date],B73)&lt;&gt;1,"Duplicate date",IF(AND($A73&gt;1,B73&lt;=B72),"Dates out of order",IF(NOT(ISNUMBER(C73)),"Missing price",IF(C73&lt;=0,"Nonpositive price","OK")))))))))</f>
        <v>OK</v>
      </c>
      <c r="I73" s="136"/>
      <c r="J73" s="136"/>
      <c r="K73" s="136"/>
      <c r="L73" s="136"/>
      <c r="M73" s="136"/>
      <c r="N73" s="136">
        <f t="shared" si="1"/>
        <v>521.17280000000005</v>
      </c>
      <c r="O73" s="136" t="e">
        <f t="shared" si="2"/>
        <v>#N/A</v>
      </c>
    </row>
    <row r="74" spans="1:15" ht="22.05" customHeight="1" x14ac:dyDescent="0.3">
      <c r="A74" s="136">
        <v>30</v>
      </c>
      <c r="B74" s="165">
        <f>IF($A74&gt;MIN($A$10,$A$2),"",INDEX(DemoHistory[Date],$A74))</f>
        <v>46143</v>
      </c>
      <c r="C74" s="166">
        <f>IF(OR($A74&gt;MIN($A$10,$A$2),$A$5=""),"",INDEX(DemoHistory[],$A74,MATCH($A$5,DemoHistory[#Headers],0)))</f>
        <v>518.6703</v>
      </c>
      <c r="D74" s="166">
        <f>IF($A74&gt;MIN($A$10,$A$2),"",IF(AND($A$12,$A$6=1,B74&lt;$A$7,$A$7&lt;=MAX(DemoHistory[Date])),$A$8,1))</f>
        <v>1</v>
      </c>
      <c r="E74" s="166">
        <f t="shared" si="0"/>
        <v>518.6703</v>
      </c>
      <c r="F74" s="166" t="str">
        <f>IF($A74&gt;MIN($A$10,$A$2),"",IF($A74&lt;50,"n.a.",IF(COUNT(INDEX(StockDaily[Adjusted close],MAX(1,$A74-50+1)):E74)=50,AVERAGE(INDEX(StockDaily[Adjusted close],MAX(1,$A74-50+1)):E74),"n.a.")))</f>
        <v>n.a.</v>
      </c>
      <c r="G74" s="166" t="str">
        <f>IF($A74&gt;MIN($A$10,$A$2),"",IF($A74&lt;200,"n.a.",IF(COUNT(INDEX(StockDaily[Adjusted close],MAX(1,$A74-200+1)):E74)=200,AVERAGE(INDEX(StockDaily[Adjusted close],MAX(1,$A74-200+1)):E74),"n.a.")))</f>
        <v>n.a.</v>
      </c>
      <c r="H74" s="136" t="str">
        <f>IF($A74&gt;MIN($A$10,$A$2),"",IF($A$5="","Choose stock",IF(NOT($A$12),"Check split rule",IF(NOT(ISNUMBER(B74)),"Invalid date",IF(OR(B74&lt;=0,B74&lt;&gt;INT(B74)),"Invalid date",IF(COUNTIFS(DemoHistory[Date],B74)&lt;&gt;1,"Duplicate date",IF(AND($A74&gt;1,B74&lt;=B73),"Dates out of order",IF(NOT(ISNUMBER(C74)),"Missing price",IF(C74&lt;=0,"Nonpositive price","OK")))))))))</f>
        <v>OK</v>
      </c>
      <c r="I74" s="136"/>
      <c r="J74" s="136"/>
      <c r="K74" s="136"/>
      <c r="L74" s="136"/>
      <c r="M74" s="136"/>
      <c r="N74" s="136">
        <f t="shared" si="1"/>
        <v>518.6703</v>
      </c>
      <c r="O74" s="136" t="e">
        <f t="shared" si="2"/>
        <v>#N/A</v>
      </c>
    </row>
    <row r="75" spans="1:15" ht="22.05" customHeight="1" x14ac:dyDescent="0.3">
      <c r="A75" s="136">
        <v>31</v>
      </c>
      <c r="B75" s="165">
        <f>IF($A75&gt;MIN($A$10,$A$2),"",INDEX(DemoHistory[Date],$A75))</f>
        <v>46146</v>
      </c>
      <c r="C75" s="166">
        <f>IF(OR($A75&gt;MIN($A$10,$A$2),$A$5=""),"",INDEX(DemoHistory[],$A75,MATCH($A$5,DemoHistory[#Headers],0)))</f>
        <v>517.03390000000002</v>
      </c>
      <c r="D75" s="166">
        <f>IF($A75&gt;MIN($A$10,$A$2),"",IF(AND($A$12,$A$6=1,B75&lt;$A$7,$A$7&lt;=MAX(DemoHistory[Date])),$A$8,1))</f>
        <v>1</v>
      </c>
      <c r="E75" s="166">
        <f t="shared" si="0"/>
        <v>517.03390000000002</v>
      </c>
      <c r="F75" s="166" t="str">
        <f>IF($A75&gt;MIN($A$10,$A$2),"",IF($A75&lt;50,"n.a.",IF(COUNT(INDEX(StockDaily[Adjusted close],MAX(1,$A75-50+1)):E75)=50,AVERAGE(INDEX(StockDaily[Adjusted close],MAX(1,$A75-50+1)):E75),"n.a.")))</f>
        <v>n.a.</v>
      </c>
      <c r="G75" s="166" t="str">
        <f>IF($A75&gt;MIN($A$10,$A$2),"",IF($A75&lt;200,"n.a.",IF(COUNT(INDEX(StockDaily[Adjusted close],MAX(1,$A75-200+1)):E75)=200,AVERAGE(INDEX(StockDaily[Adjusted close],MAX(1,$A75-200+1)):E75),"n.a.")))</f>
        <v>n.a.</v>
      </c>
      <c r="H75" s="136" t="str">
        <f>IF($A75&gt;MIN($A$10,$A$2),"",IF($A$5="","Choose stock",IF(NOT($A$12),"Check split rule",IF(NOT(ISNUMBER(B75)),"Invalid date",IF(OR(B75&lt;=0,B75&lt;&gt;INT(B75)),"Invalid date",IF(COUNTIFS(DemoHistory[Date],B75)&lt;&gt;1,"Duplicate date",IF(AND($A75&gt;1,B75&lt;=B74),"Dates out of order",IF(NOT(ISNUMBER(C75)),"Missing price",IF(C75&lt;=0,"Nonpositive price","OK")))))))))</f>
        <v>OK</v>
      </c>
      <c r="I75" s="136"/>
      <c r="J75" s="136"/>
      <c r="K75" s="136"/>
      <c r="L75" s="136"/>
      <c r="M75" s="136"/>
      <c r="N75" s="136">
        <f t="shared" si="1"/>
        <v>517.03390000000002</v>
      </c>
      <c r="O75" s="136" t="e">
        <f t="shared" si="2"/>
        <v>#N/A</v>
      </c>
    </row>
    <row r="76" spans="1:15" ht="22.05" customHeight="1" x14ac:dyDescent="0.3">
      <c r="A76" s="136">
        <v>32</v>
      </c>
      <c r="B76" s="165">
        <f>IF($A76&gt;MIN($A$10,$A$2),"",INDEX(DemoHistory[Date],$A76))</f>
        <v>46147</v>
      </c>
      <c r="C76" s="166">
        <f>IF(OR($A76&gt;MIN($A$10,$A$2),$A$5=""),"",INDEX(DemoHistory[],$A76,MATCH($A$5,DemoHistory[#Headers],0)))</f>
        <v>514.4941</v>
      </c>
      <c r="D76" s="166">
        <f>IF($A76&gt;MIN($A$10,$A$2),"",IF(AND($A$12,$A$6=1,B76&lt;$A$7,$A$7&lt;=MAX(DemoHistory[Date])),$A$8,1))</f>
        <v>1</v>
      </c>
      <c r="E76" s="166">
        <f t="shared" si="0"/>
        <v>514.4941</v>
      </c>
      <c r="F76" s="166" t="str">
        <f>IF($A76&gt;MIN($A$10,$A$2),"",IF($A76&lt;50,"n.a.",IF(COUNT(INDEX(StockDaily[Adjusted close],MAX(1,$A76-50+1)):E76)=50,AVERAGE(INDEX(StockDaily[Adjusted close],MAX(1,$A76-50+1)):E76),"n.a.")))</f>
        <v>n.a.</v>
      </c>
      <c r="G76" s="166" t="str">
        <f>IF($A76&gt;MIN($A$10,$A$2),"",IF($A76&lt;200,"n.a.",IF(COUNT(INDEX(StockDaily[Adjusted close],MAX(1,$A76-200+1)):E76)=200,AVERAGE(INDEX(StockDaily[Adjusted close],MAX(1,$A76-200+1)):E76),"n.a.")))</f>
        <v>n.a.</v>
      </c>
      <c r="H76" s="136" t="str">
        <f>IF($A76&gt;MIN($A$10,$A$2),"",IF($A$5="","Choose stock",IF(NOT($A$12),"Check split rule",IF(NOT(ISNUMBER(B76)),"Invalid date",IF(OR(B76&lt;=0,B76&lt;&gt;INT(B76)),"Invalid date",IF(COUNTIFS(DemoHistory[Date],B76)&lt;&gt;1,"Duplicate date",IF(AND($A76&gt;1,B76&lt;=B75),"Dates out of order",IF(NOT(ISNUMBER(C76)),"Missing price",IF(C76&lt;=0,"Nonpositive price","OK")))))))))</f>
        <v>OK</v>
      </c>
      <c r="I76" s="136"/>
      <c r="J76" s="136"/>
      <c r="K76" s="136"/>
      <c r="L76" s="136"/>
      <c r="M76" s="136"/>
      <c r="N76" s="136">
        <f t="shared" si="1"/>
        <v>514.4941</v>
      </c>
      <c r="O76" s="136" t="e">
        <f t="shared" si="2"/>
        <v>#N/A</v>
      </c>
    </row>
    <row r="77" spans="1:15" ht="22.05" customHeight="1" x14ac:dyDescent="0.3">
      <c r="A77" s="136">
        <v>33</v>
      </c>
      <c r="B77" s="165">
        <f>IF($A77&gt;MIN($A$10,$A$2),"",INDEX(DemoHistory[Date],$A77))</f>
        <v>46148</v>
      </c>
      <c r="C77" s="166">
        <f>IF(OR($A77&gt;MIN($A$10,$A$2),$A$5=""),"",INDEX(DemoHistory[],$A77,MATCH($A$5,DemoHistory[#Headers],0)))</f>
        <v>516.56039999999996</v>
      </c>
      <c r="D77" s="166">
        <f>IF($A77&gt;MIN($A$10,$A$2),"",IF(AND($A$12,$A$6=1,B77&lt;$A$7,$A$7&lt;=MAX(DemoHistory[Date])),$A$8,1))</f>
        <v>1</v>
      </c>
      <c r="E77" s="166">
        <f t="shared" si="0"/>
        <v>516.56039999999996</v>
      </c>
      <c r="F77" s="166" t="str">
        <f>IF($A77&gt;MIN($A$10,$A$2),"",IF($A77&lt;50,"n.a.",IF(COUNT(INDEX(StockDaily[Adjusted close],MAX(1,$A77-50+1)):E77)=50,AVERAGE(INDEX(StockDaily[Adjusted close],MAX(1,$A77-50+1)):E77),"n.a.")))</f>
        <v>n.a.</v>
      </c>
      <c r="G77" s="166" t="str">
        <f>IF($A77&gt;MIN($A$10,$A$2),"",IF($A77&lt;200,"n.a.",IF(COUNT(INDEX(StockDaily[Adjusted close],MAX(1,$A77-200+1)):E77)=200,AVERAGE(INDEX(StockDaily[Adjusted close],MAX(1,$A77-200+1)):E77),"n.a.")))</f>
        <v>n.a.</v>
      </c>
      <c r="H77" s="136" t="str">
        <f>IF($A77&gt;MIN($A$10,$A$2),"",IF($A$5="","Choose stock",IF(NOT($A$12),"Check split rule",IF(NOT(ISNUMBER(B77)),"Invalid date",IF(OR(B77&lt;=0,B77&lt;&gt;INT(B77)),"Invalid date",IF(COUNTIFS(DemoHistory[Date],B77)&lt;&gt;1,"Duplicate date",IF(AND($A77&gt;1,B77&lt;=B76),"Dates out of order",IF(NOT(ISNUMBER(C77)),"Missing price",IF(C77&lt;=0,"Nonpositive price","OK")))))))))</f>
        <v>OK</v>
      </c>
      <c r="I77" s="136"/>
      <c r="J77" s="136"/>
      <c r="K77" s="136"/>
      <c r="L77" s="136"/>
      <c r="M77" s="136"/>
      <c r="N77" s="136">
        <f t="shared" si="1"/>
        <v>516.56039999999996</v>
      </c>
      <c r="O77" s="136" t="e">
        <f t="shared" si="2"/>
        <v>#N/A</v>
      </c>
    </row>
    <row r="78" spans="1:15" ht="22.05" customHeight="1" x14ac:dyDescent="0.3">
      <c r="A78" s="136">
        <v>34</v>
      </c>
      <c r="B78" s="165">
        <f>IF($A78&gt;MIN($A$10,$A$2),"",INDEX(DemoHistory[Date],$A78))</f>
        <v>46149</v>
      </c>
      <c r="C78" s="166">
        <f>IF(OR($A78&gt;MIN($A$10,$A$2),$A$5=""),"",INDEX(DemoHistory[],$A78,MATCH($A$5,DemoHistory[#Headers],0)))</f>
        <v>508.08049999999997</v>
      </c>
      <c r="D78" s="166">
        <f>IF($A78&gt;MIN($A$10,$A$2),"",IF(AND($A$12,$A$6=1,B78&lt;$A$7,$A$7&lt;=MAX(DemoHistory[Date])),$A$8,1))</f>
        <v>1</v>
      </c>
      <c r="E78" s="166">
        <f t="shared" si="0"/>
        <v>508.08049999999997</v>
      </c>
      <c r="F78" s="166" t="str">
        <f>IF($A78&gt;MIN($A$10,$A$2),"",IF($A78&lt;50,"n.a.",IF(COUNT(INDEX(StockDaily[Adjusted close],MAX(1,$A78-50+1)):E78)=50,AVERAGE(INDEX(StockDaily[Adjusted close],MAX(1,$A78-50+1)):E78),"n.a.")))</f>
        <v>n.a.</v>
      </c>
      <c r="G78" s="166" t="str">
        <f>IF($A78&gt;MIN($A$10,$A$2),"",IF($A78&lt;200,"n.a.",IF(COUNT(INDEX(StockDaily[Adjusted close],MAX(1,$A78-200+1)):E78)=200,AVERAGE(INDEX(StockDaily[Adjusted close],MAX(1,$A78-200+1)):E78),"n.a.")))</f>
        <v>n.a.</v>
      </c>
      <c r="H78" s="136" t="str">
        <f>IF($A78&gt;MIN($A$10,$A$2),"",IF($A$5="","Choose stock",IF(NOT($A$12),"Check split rule",IF(NOT(ISNUMBER(B78)),"Invalid date",IF(OR(B78&lt;=0,B78&lt;&gt;INT(B78)),"Invalid date",IF(COUNTIFS(DemoHistory[Date],B78)&lt;&gt;1,"Duplicate date",IF(AND($A78&gt;1,B78&lt;=B77),"Dates out of order",IF(NOT(ISNUMBER(C78)),"Missing price",IF(C78&lt;=0,"Nonpositive price","OK")))))))))</f>
        <v>OK</v>
      </c>
      <c r="I78" s="136"/>
      <c r="J78" s="136"/>
      <c r="K78" s="136"/>
      <c r="L78" s="136"/>
      <c r="M78" s="136"/>
      <c r="N78" s="136">
        <f t="shared" si="1"/>
        <v>508.08049999999997</v>
      </c>
      <c r="O78" s="136" t="e">
        <f t="shared" si="2"/>
        <v>#N/A</v>
      </c>
    </row>
    <row r="79" spans="1:15" ht="22.05" customHeight="1" x14ac:dyDescent="0.3">
      <c r="A79" s="136">
        <v>35</v>
      </c>
      <c r="B79" s="165">
        <f>IF($A79&gt;MIN($A$10,$A$2),"",INDEX(DemoHistory[Date],$A79))</f>
        <v>46150</v>
      </c>
      <c r="C79" s="166">
        <f>IF(OR($A79&gt;MIN($A$10,$A$2),$A$5=""),"",INDEX(DemoHistory[],$A79,MATCH($A$5,DemoHistory[#Headers],0)))</f>
        <v>508.28710000000001</v>
      </c>
      <c r="D79" s="166">
        <f>IF($A79&gt;MIN($A$10,$A$2),"",IF(AND($A$12,$A$6=1,B79&lt;$A$7,$A$7&lt;=MAX(DemoHistory[Date])),$A$8,1))</f>
        <v>1</v>
      </c>
      <c r="E79" s="166">
        <f t="shared" si="0"/>
        <v>508.28710000000001</v>
      </c>
      <c r="F79" s="166" t="str">
        <f>IF($A79&gt;MIN($A$10,$A$2),"",IF($A79&lt;50,"n.a.",IF(COUNT(INDEX(StockDaily[Adjusted close],MAX(1,$A79-50+1)):E79)=50,AVERAGE(INDEX(StockDaily[Adjusted close],MAX(1,$A79-50+1)):E79),"n.a.")))</f>
        <v>n.a.</v>
      </c>
      <c r="G79" s="166" t="str">
        <f>IF($A79&gt;MIN($A$10,$A$2),"",IF($A79&lt;200,"n.a.",IF(COUNT(INDEX(StockDaily[Adjusted close],MAX(1,$A79-200+1)):E79)=200,AVERAGE(INDEX(StockDaily[Adjusted close],MAX(1,$A79-200+1)):E79),"n.a.")))</f>
        <v>n.a.</v>
      </c>
      <c r="H79" s="136" t="str">
        <f>IF($A79&gt;MIN($A$10,$A$2),"",IF($A$5="","Choose stock",IF(NOT($A$12),"Check split rule",IF(NOT(ISNUMBER(B79)),"Invalid date",IF(OR(B79&lt;=0,B79&lt;&gt;INT(B79)),"Invalid date",IF(COUNTIFS(DemoHistory[Date],B79)&lt;&gt;1,"Duplicate date",IF(AND($A79&gt;1,B79&lt;=B78),"Dates out of order",IF(NOT(ISNUMBER(C79)),"Missing price",IF(C79&lt;=0,"Nonpositive price","OK")))))))))</f>
        <v>OK</v>
      </c>
      <c r="I79" s="136"/>
      <c r="J79" s="136"/>
      <c r="K79" s="136"/>
      <c r="L79" s="136"/>
      <c r="M79" s="136"/>
      <c r="N79" s="136">
        <f t="shared" si="1"/>
        <v>508.28710000000001</v>
      </c>
      <c r="O79" s="136" t="e">
        <f t="shared" si="2"/>
        <v>#N/A</v>
      </c>
    </row>
    <row r="80" spans="1:15" ht="22.05" customHeight="1" x14ac:dyDescent="0.3">
      <c r="A80" s="136">
        <v>36</v>
      </c>
      <c r="B80" s="165">
        <f>IF($A80&gt;MIN($A$10,$A$2),"",INDEX(DemoHistory[Date],$A80))</f>
        <v>46153</v>
      </c>
      <c r="C80" s="166">
        <f>IF(OR($A80&gt;MIN($A$10,$A$2),$A$5=""),"",INDEX(DemoHistory[],$A80,MATCH($A$5,DemoHistory[#Headers],0)))</f>
        <v>501.93380000000002</v>
      </c>
      <c r="D80" s="166">
        <f>IF($A80&gt;MIN($A$10,$A$2),"",IF(AND($A$12,$A$6=1,B80&lt;$A$7,$A$7&lt;=MAX(DemoHistory[Date])),$A$8,1))</f>
        <v>1</v>
      </c>
      <c r="E80" s="166">
        <f t="shared" si="0"/>
        <v>501.93380000000002</v>
      </c>
      <c r="F80" s="166" t="str">
        <f>IF($A80&gt;MIN($A$10,$A$2),"",IF($A80&lt;50,"n.a.",IF(COUNT(INDEX(StockDaily[Adjusted close],MAX(1,$A80-50+1)):E80)=50,AVERAGE(INDEX(StockDaily[Adjusted close],MAX(1,$A80-50+1)):E80),"n.a.")))</f>
        <v>n.a.</v>
      </c>
      <c r="G80" s="166" t="str">
        <f>IF($A80&gt;MIN($A$10,$A$2),"",IF($A80&lt;200,"n.a.",IF(COUNT(INDEX(StockDaily[Adjusted close],MAX(1,$A80-200+1)):E80)=200,AVERAGE(INDEX(StockDaily[Adjusted close],MAX(1,$A80-200+1)):E80),"n.a.")))</f>
        <v>n.a.</v>
      </c>
      <c r="H80" s="136" t="str">
        <f>IF($A80&gt;MIN($A$10,$A$2),"",IF($A$5="","Choose stock",IF(NOT($A$12),"Check split rule",IF(NOT(ISNUMBER(B80)),"Invalid date",IF(OR(B80&lt;=0,B80&lt;&gt;INT(B80)),"Invalid date",IF(COUNTIFS(DemoHistory[Date],B80)&lt;&gt;1,"Duplicate date",IF(AND($A80&gt;1,B80&lt;=B79),"Dates out of order",IF(NOT(ISNUMBER(C80)),"Missing price",IF(C80&lt;=0,"Nonpositive price","OK")))))))))</f>
        <v>OK</v>
      </c>
      <c r="I80" s="136"/>
      <c r="J80" s="136"/>
      <c r="K80" s="136"/>
      <c r="L80" s="136"/>
      <c r="M80" s="136"/>
      <c r="N80" s="136">
        <f t="shared" si="1"/>
        <v>501.93380000000002</v>
      </c>
      <c r="O80" s="136" t="e">
        <f t="shared" si="2"/>
        <v>#N/A</v>
      </c>
    </row>
    <row r="81" spans="1:15" ht="22.05" customHeight="1" x14ac:dyDescent="0.3">
      <c r="A81" s="136">
        <v>37</v>
      </c>
      <c r="B81" s="165">
        <f>IF($A81&gt;MIN($A$10,$A$2),"",INDEX(DemoHistory[Date],$A81))</f>
        <v>46154</v>
      </c>
      <c r="C81" s="166">
        <f>IF(OR($A81&gt;MIN($A$10,$A$2),$A$5=""),"",INDEX(DemoHistory[],$A81,MATCH($A$5,DemoHistory[#Headers],0)))</f>
        <v>502.81389999999999</v>
      </c>
      <c r="D81" s="166">
        <f>IF($A81&gt;MIN($A$10,$A$2),"",IF(AND($A$12,$A$6=1,B81&lt;$A$7,$A$7&lt;=MAX(DemoHistory[Date])),$A$8,1))</f>
        <v>1</v>
      </c>
      <c r="E81" s="166">
        <f t="shared" si="0"/>
        <v>502.81389999999999</v>
      </c>
      <c r="F81" s="166" t="str">
        <f>IF($A81&gt;MIN($A$10,$A$2),"",IF($A81&lt;50,"n.a.",IF(COUNT(INDEX(StockDaily[Adjusted close],MAX(1,$A81-50+1)):E81)=50,AVERAGE(INDEX(StockDaily[Adjusted close],MAX(1,$A81-50+1)):E81),"n.a.")))</f>
        <v>n.a.</v>
      </c>
      <c r="G81" s="166" t="str">
        <f>IF($A81&gt;MIN($A$10,$A$2),"",IF($A81&lt;200,"n.a.",IF(COUNT(INDEX(StockDaily[Adjusted close],MAX(1,$A81-200+1)):E81)=200,AVERAGE(INDEX(StockDaily[Adjusted close],MAX(1,$A81-200+1)):E81),"n.a.")))</f>
        <v>n.a.</v>
      </c>
      <c r="H81" s="136" t="str">
        <f>IF($A81&gt;MIN($A$10,$A$2),"",IF($A$5="","Choose stock",IF(NOT($A$12),"Check split rule",IF(NOT(ISNUMBER(B81)),"Invalid date",IF(OR(B81&lt;=0,B81&lt;&gt;INT(B81)),"Invalid date",IF(COUNTIFS(DemoHistory[Date],B81)&lt;&gt;1,"Duplicate date",IF(AND($A81&gt;1,B81&lt;=B80),"Dates out of order",IF(NOT(ISNUMBER(C81)),"Missing price",IF(C81&lt;=0,"Nonpositive price","OK")))))))))</f>
        <v>OK</v>
      </c>
      <c r="I81" s="136"/>
      <c r="J81" s="136"/>
      <c r="K81" s="136"/>
      <c r="L81" s="136"/>
      <c r="M81" s="136"/>
      <c r="N81" s="136">
        <f t="shared" si="1"/>
        <v>502.81389999999999</v>
      </c>
      <c r="O81" s="136" t="e">
        <f t="shared" si="2"/>
        <v>#N/A</v>
      </c>
    </row>
    <row r="82" spans="1:15" ht="22.05" customHeight="1" x14ac:dyDescent="0.3">
      <c r="A82" s="136">
        <v>38</v>
      </c>
      <c r="B82" s="165">
        <f>IF($A82&gt;MIN($A$10,$A$2),"",INDEX(DemoHistory[Date],$A82))</f>
        <v>46155</v>
      </c>
      <c r="C82" s="166">
        <f>IF(OR($A82&gt;MIN($A$10,$A$2),$A$5=""),"",INDEX(DemoHistory[],$A82,MATCH($A$5,DemoHistory[#Headers],0)))</f>
        <v>504.68459999999999</v>
      </c>
      <c r="D82" s="166">
        <f>IF($A82&gt;MIN($A$10,$A$2),"",IF(AND($A$12,$A$6=1,B82&lt;$A$7,$A$7&lt;=MAX(DemoHistory[Date])),$A$8,1))</f>
        <v>1</v>
      </c>
      <c r="E82" s="166">
        <f t="shared" si="0"/>
        <v>504.68459999999999</v>
      </c>
      <c r="F82" s="166" t="str">
        <f>IF($A82&gt;MIN($A$10,$A$2),"",IF($A82&lt;50,"n.a.",IF(COUNT(INDEX(StockDaily[Adjusted close],MAX(1,$A82-50+1)):E82)=50,AVERAGE(INDEX(StockDaily[Adjusted close],MAX(1,$A82-50+1)):E82),"n.a.")))</f>
        <v>n.a.</v>
      </c>
      <c r="G82" s="166" t="str">
        <f>IF($A82&gt;MIN($A$10,$A$2),"",IF($A82&lt;200,"n.a.",IF(COUNT(INDEX(StockDaily[Adjusted close],MAX(1,$A82-200+1)):E82)=200,AVERAGE(INDEX(StockDaily[Adjusted close],MAX(1,$A82-200+1)):E82),"n.a.")))</f>
        <v>n.a.</v>
      </c>
      <c r="H82" s="136" t="str">
        <f>IF($A82&gt;MIN($A$10,$A$2),"",IF($A$5="","Choose stock",IF(NOT($A$12),"Check split rule",IF(NOT(ISNUMBER(B82)),"Invalid date",IF(OR(B82&lt;=0,B82&lt;&gt;INT(B82)),"Invalid date",IF(COUNTIFS(DemoHistory[Date],B82)&lt;&gt;1,"Duplicate date",IF(AND($A82&gt;1,B82&lt;=B81),"Dates out of order",IF(NOT(ISNUMBER(C82)),"Missing price",IF(C82&lt;=0,"Nonpositive price","OK")))))))))</f>
        <v>OK</v>
      </c>
      <c r="I82" s="136"/>
      <c r="J82" s="136"/>
      <c r="K82" s="136"/>
      <c r="L82" s="136"/>
      <c r="M82" s="136"/>
      <c r="N82" s="136">
        <f t="shared" si="1"/>
        <v>504.68459999999999</v>
      </c>
      <c r="O82" s="136" t="e">
        <f t="shared" si="2"/>
        <v>#N/A</v>
      </c>
    </row>
    <row r="83" spans="1:15" ht="22.05" customHeight="1" x14ac:dyDescent="0.3">
      <c r="A83" s="136">
        <v>39</v>
      </c>
      <c r="B83" s="165">
        <f>IF($A83&gt;MIN($A$10,$A$2),"",INDEX(DemoHistory[Date],$A83))</f>
        <v>46156</v>
      </c>
      <c r="C83" s="166">
        <f>IF(OR($A83&gt;MIN($A$10,$A$2),$A$5=""),"",INDEX(DemoHistory[],$A83,MATCH($A$5,DemoHistory[#Headers],0)))</f>
        <v>497.74770000000001</v>
      </c>
      <c r="D83" s="166">
        <f>IF($A83&gt;MIN($A$10,$A$2),"",IF(AND($A$12,$A$6=1,B83&lt;$A$7,$A$7&lt;=MAX(DemoHistory[Date])),$A$8,1))</f>
        <v>1</v>
      </c>
      <c r="E83" s="166">
        <f t="shared" si="0"/>
        <v>497.74770000000001</v>
      </c>
      <c r="F83" s="166" t="str">
        <f>IF($A83&gt;MIN($A$10,$A$2),"",IF($A83&lt;50,"n.a.",IF(COUNT(INDEX(StockDaily[Adjusted close],MAX(1,$A83-50+1)):E83)=50,AVERAGE(INDEX(StockDaily[Adjusted close],MAX(1,$A83-50+1)):E83),"n.a.")))</f>
        <v>n.a.</v>
      </c>
      <c r="G83" s="166" t="str">
        <f>IF($A83&gt;MIN($A$10,$A$2),"",IF($A83&lt;200,"n.a.",IF(COUNT(INDEX(StockDaily[Adjusted close],MAX(1,$A83-200+1)):E83)=200,AVERAGE(INDEX(StockDaily[Adjusted close],MAX(1,$A83-200+1)):E83),"n.a.")))</f>
        <v>n.a.</v>
      </c>
      <c r="H83" s="136" t="str">
        <f>IF($A83&gt;MIN($A$10,$A$2),"",IF($A$5="","Choose stock",IF(NOT($A$12),"Check split rule",IF(NOT(ISNUMBER(B83)),"Invalid date",IF(OR(B83&lt;=0,B83&lt;&gt;INT(B83)),"Invalid date",IF(COUNTIFS(DemoHistory[Date],B83)&lt;&gt;1,"Duplicate date",IF(AND($A83&gt;1,B83&lt;=B82),"Dates out of order",IF(NOT(ISNUMBER(C83)),"Missing price",IF(C83&lt;=0,"Nonpositive price","OK")))))))))</f>
        <v>OK</v>
      </c>
      <c r="I83" s="136"/>
      <c r="J83" s="136"/>
      <c r="K83" s="136"/>
      <c r="L83" s="136"/>
      <c r="M83" s="136"/>
      <c r="N83" s="136">
        <f t="shared" si="1"/>
        <v>497.74770000000001</v>
      </c>
      <c r="O83" s="136" t="e">
        <f t="shared" si="2"/>
        <v>#N/A</v>
      </c>
    </row>
    <row r="84" spans="1:15" ht="22.05" customHeight="1" x14ac:dyDescent="0.3">
      <c r="A84" s="136">
        <v>40</v>
      </c>
      <c r="B84" s="165">
        <f>IF($A84&gt;MIN($A$10,$A$2),"",INDEX(DemoHistory[Date],$A84))</f>
        <v>46157</v>
      </c>
      <c r="C84" s="166">
        <f>IF(OR($A84&gt;MIN($A$10,$A$2),$A$5=""),"",INDEX(DemoHistory[],$A84,MATCH($A$5,DemoHistory[#Headers],0)))</f>
        <v>498.98099999999999</v>
      </c>
      <c r="D84" s="166">
        <f>IF($A84&gt;MIN($A$10,$A$2),"",IF(AND($A$12,$A$6=1,B84&lt;$A$7,$A$7&lt;=MAX(DemoHistory[Date])),$A$8,1))</f>
        <v>1</v>
      </c>
      <c r="E84" s="166">
        <f t="shared" si="0"/>
        <v>498.98099999999999</v>
      </c>
      <c r="F84" s="166" t="str">
        <f>IF($A84&gt;MIN($A$10,$A$2),"",IF($A84&lt;50,"n.a.",IF(COUNT(INDEX(StockDaily[Adjusted close],MAX(1,$A84-50+1)):E84)=50,AVERAGE(INDEX(StockDaily[Adjusted close],MAX(1,$A84-50+1)):E84),"n.a.")))</f>
        <v>n.a.</v>
      </c>
      <c r="G84" s="166" t="str">
        <f>IF($A84&gt;MIN($A$10,$A$2),"",IF($A84&lt;200,"n.a.",IF(COUNT(INDEX(StockDaily[Adjusted close],MAX(1,$A84-200+1)):E84)=200,AVERAGE(INDEX(StockDaily[Adjusted close],MAX(1,$A84-200+1)):E84),"n.a.")))</f>
        <v>n.a.</v>
      </c>
      <c r="H84" s="136" t="str">
        <f>IF($A84&gt;MIN($A$10,$A$2),"",IF($A$5="","Choose stock",IF(NOT($A$12),"Check split rule",IF(NOT(ISNUMBER(B84)),"Invalid date",IF(OR(B84&lt;=0,B84&lt;&gt;INT(B84)),"Invalid date",IF(COUNTIFS(DemoHistory[Date],B84)&lt;&gt;1,"Duplicate date",IF(AND($A84&gt;1,B84&lt;=B83),"Dates out of order",IF(NOT(ISNUMBER(C84)),"Missing price",IF(C84&lt;=0,"Nonpositive price","OK")))))))))</f>
        <v>OK</v>
      </c>
      <c r="I84" s="136"/>
      <c r="J84" s="136"/>
      <c r="K84" s="136"/>
      <c r="L84" s="136"/>
      <c r="M84" s="136"/>
      <c r="N84" s="136">
        <f t="shared" si="1"/>
        <v>498.98099999999999</v>
      </c>
      <c r="O84" s="136" t="e">
        <f t="shared" si="2"/>
        <v>#N/A</v>
      </c>
    </row>
    <row r="85" spans="1:15" ht="22.05" customHeight="1" x14ac:dyDescent="0.3">
      <c r="A85" s="136">
        <v>41</v>
      </c>
      <c r="B85" s="165">
        <f>IF($A85&gt;MIN($A$10,$A$2),"",INDEX(DemoHistory[Date],$A85))</f>
        <v>46160</v>
      </c>
      <c r="C85" s="166">
        <f>IF(OR($A85&gt;MIN($A$10,$A$2),$A$5=""),"",INDEX(DemoHistory[],$A85,MATCH($A$5,DemoHistory[#Headers],0)))</f>
        <v>494.25510000000003</v>
      </c>
      <c r="D85" s="166">
        <f>IF($A85&gt;MIN($A$10,$A$2),"",IF(AND($A$12,$A$6=1,B85&lt;$A$7,$A$7&lt;=MAX(DemoHistory[Date])),$A$8,1))</f>
        <v>1</v>
      </c>
      <c r="E85" s="166">
        <f t="shared" si="0"/>
        <v>494.25510000000003</v>
      </c>
      <c r="F85" s="166" t="str">
        <f>IF($A85&gt;MIN($A$10,$A$2),"",IF($A85&lt;50,"n.a.",IF(COUNT(INDEX(StockDaily[Adjusted close],MAX(1,$A85-50+1)):E85)=50,AVERAGE(INDEX(StockDaily[Adjusted close],MAX(1,$A85-50+1)):E85),"n.a.")))</f>
        <v>n.a.</v>
      </c>
      <c r="G85" s="166" t="str">
        <f>IF($A85&gt;MIN($A$10,$A$2),"",IF($A85&lt;200,"n.a.",IF(COUNT(INDEX(StockDaily[Adjusted close],MAX(1,$A85-200+1)):E85)=200,AVERAGE(INDEX(StockDaily[Adjusted close],MAX(1,$A85-200+1)):E85),"n.a.")))</f>
        <v>n.a.</v>
      </c>
      <c r="H85" s="136" t="str">
        <f>IF($A85&gt;MIN($A$10,$A$2),"",IF($A$5="","Choose stock",IF(NOT($A$12),"Check split rule",IF(NOT(ISNUMBER(B85)),"Invalid date",IF(OR(B85&lt;=0,B85&lt;&gt;INT(B85)),"Invalid date",IF(COUNTIFS(DemoHistory[Date],B85)&lt;&gt;1,"Duplicate date",IF(AND($A85&gt;1,B85&lt;=B84),"Dates out of order",IF(NOT(ISNUMBER(C85)),"Missing price",IF(C85&lt;=0,"Nonpositive price","OK")))))))))</f>
        <v>OK</v>
      </c>
      <c r="I85" s="136"/>
      <c r="J85" s="136"/>
      <c r="K85" s="136"/>
      <c r="L85" s="136"/>
      <c r="M85" s="136"/>
      <c r="N85" s="136">
        <f t="shared" si="1"/>
        <v>494.25510000000003</v>
      </c>
      <c r="O85" s="136" t="e">
        <f t="shared" si="2"/>
        <v>#N/A</v>
      </c>
    </row>
    <row r="86" spans="1:15" ht="22.05" customHeight="1" x14ac:dyDescent="0.3">
      <c r="A86" s="136">
        <v>42</v>
      </c>
      <c r="B86" s="165">
        <f>IF($A86&gt;MIN($A$10,$A$2),"",INDEX(DemoHistory[Date],$A86))</f>
        <v>46161</v>
      </c>
      <c r="C86" s="166">
        <f>IF(OR($A86&gt;MIN($A$10,$A$2),$A$5=""),"",INDEX(DemoHistory[],$A86,MATCH($A$5,DemoHistory[#Headers],0)))</f>
        <v>495.84210000000002</v>
      </c>
      <c r="D86" s="166">
        <f>IF($A86&gt;MIN($A$10,$A$2),"",IF(AND($A$12,$A$6=1,B86&lt;$A$7,$A$7&lt;=MAX(DemoHistory[Date])),$A$8,1))</f>
        <v>1</v>
      </c>
      <c r="E86" s="166">
        <f t="shared" si="0"/>
        <v>495.84210000000002</v>
      </c>
      <c r="F86" s="166" t="str">
        <f>IF($A86&gt;MIN($A$10,$A$2),"",IF($A86&lt;50,"n.a.",IF(COUNT(INDEX(StockDaily[Adjusted close],MAX(1,$A86-50+1)):E86)=50,AVERAGE(INDEX(StockDaily[Adjusted close],MAX(1,$A86-50+1)):E86),"n.a.")))</f>
        <v>n.a.</v>
      </c>
      <c r="G86" s="166" t="str">
        <f>IF($A86&gt;MIN($A$10,$A$2),"",IF($A86&lt;200,"n.a.",IF(COUNT(INDEX(StockDaily[Adjusted close],MAX(1,$A86-200+1)):E86)=200,AVERAGE(INDEX(StockDaily[Adjusted close],MAX(1,$A86-200+1)):E86),"n.a.")))</f>
        <v>n.a.</v>
      </c>
      <c r="H86" s="136" t="str">
        <f>IF($A86&gt;MIN($A$10,$A$2),"",IF($A$5="","Choose stock",IF(NOT($A$12),"Check split rule",IF(NOT(ISNUMBER(B86)),"Invalid date",IF(OR(B86&lt;=0,B86&lt;&gt;INT(B86)),"Invalid date",IF(COUNTIFS(DemoHistory[Date],B86)&lt;&gt;1,"Duplicate date",IF(AND($A86&gt;1,B86&lt;=B85),"Dates out of order",IF(NOT(ISNUMBER(C86)),"Missing price",IF(C86&lt;=0,"Nonpositive price","OK")))))))))</f>
        <v>OK</v>
      </c>
      <c r="I86" s="136"/>
      <c r="J86" s="136"/>
      <c r="K86" s="136"/>
      <c r="L86" s="136"/>
      <c r="M86" s="136"/>
      <c r="N86" s="136">
        <f t="shared" si="1"/>
        <v>495.84210000000002</v>
      </c>
      <c r="O86" s="136" t="e">
        <f t="shared" si="2"/>
        <v>#N/A</v>
      </c>
    </row>
    <row r="87" spans="1:15" ht="22.05" customHeight="1" x14ac:dyDescent="0.3">
      <c r="A87" s="136">
        <v>43</v>
      </c>
      <c r="B87" s="165">
        <f>IF($A87&gt;MIN($A$10,$A$2),"",INDEX(DemoHistory[Date],$A87))</f>
        <v>46162</v>
      </c>
      <c r="C87" s="166">
        <f>IF(OR($A87&gt;MIN($A$10,$A$2),$A$5=""),"",INDEX(DemoHistory[],$A87,MATCH($A$5,DemoHistory[#Headers],0)))</f>
        <v>500.75130000000001</v>
      </c>
      <c r="D87" s="166">
        <f>IF($A87&gt;MIN($A$10,$A$2),"",IF(AND($A$12,$A$6=1,B87&lt;$A$7,$A$7&lt;=MAX(DemoHistory[Date])),$A$8,1))</f>
        <v>1</v>
      </c>
      <c r="E87" s="166">
        <f t="shared" si="0"/>
        <v>500.75130000000001</v>
      </c>
      <c r="F87" s="166" t="str">
        <f>IF($A87&gt;MIN($A$10,$A$2),"",IF($A87&lt;50,"n.a.",IF(COUNT(INDEX(StockDaily[Adjusted close],MAX(1,$A87-50+1)):E87)=50,AVERAGE(INDEX(StockDaily[Adjusted close],MAX(1,$A87-50+1)):E87),"n.a.")))</f>
        <v>n.a.</v>
      </c>
      <c r="G87" s="166" t="str">
        <f>IF($A87&gt;MIN($A$10,$A$2),"",IF($A87&lt;200,"n.a.",IF(COUNT(INDEX(StockDaily[Adjusted close],MAX(1,$A87-200+1)):E87)=200,AVERAGE(INDEX(StockDaily[Adjusted close],MAX(1,$A87-200+1)):E87),"n.a.")))</f>
        <v>n.a.</v>
      </c>
      <c r="H87" s="136" t="str">
        <f>IF($A87&gt;MIN($A$10,$A$2),"",IF($A$5="","Choose stock",IF(NOT($A$12),"Check split rule",IF(NOT(ISNUMBER(B87)),"Invalid date",IF(OR(B87&lt;=0,B87&lt;&gt;INT(B87)),"Invalid date",IF(COUNTIFS(DemoHistory[Date],B87)&lt;&gt;1,"Duplicate date",IF(AND($A87&gt;1,B87&lt;=B86),"Dates out of order",IF(NOT(ISNUMBER(C87)),"Missing price",IF(C87&lt;=0,"Nonpositive price","OK")))))))))</f>
        <v>OK</v>
      </c>
      <c r="I87" s="136"/>
      <c r="J87" s="136"/>
      <c r="K87" s="136"/>
      <c r="L87" s="136"/>
      <c r="M87" s="136"/>
      <c r="N87" s="136">
        <f t="shared" si="1"/>
        <v>500.75130000000001</v>
      </c>
      <c r="O87" s="136" t="e">
        <f t="shared" si="2"/>
        <v>#N/A</v>
      </c>
    </row>
    <row r="88" spans="1:15" ht="22.05" customHeight="1" x14ac:dyDescent="0.3">
      <c r="A88" s="136">
        <v>44</v>
      </c>
      <c r="B88" s="165">
        <f>IF($A88&gt;MIN($A$10,$A$2),"",INDEX(DemoHistory[Date],$A88))</f>
        <v>46163</v>
      </c>
      <c r="C88" s="166">
        <f>IF(OR($A88&gt;MIN($A$10,$A$2),$A$5=""),"",INDEX(DemoHistory[],$A88,MATCH($A$5,DemoHistory[#Headers],0)))</f>
        <v>496.73910000000001</v>
      </c>
      <c r="D88" s="166">
        <f>IF($A88&gt;MIN($A$10,$A$2),"",IF(AND($A$12,$A$6=1,B88&lt;$A$7,$A$7&lt;=MAX(DemoHistory[Date])),$A$8,1))</f>
        <v>1</v>
      </c>
      <c r="E88" s="166">
        <f t="shared" si="0"/>
        <v>496.73910000000001</v>
      </c>
      <c r="F88" s="166" t="str">
        <f>IF($A88&gt;MIN($A$10,$A$2),"",IF($A88&lt;50,"n.a.",IF(COUNT(INDEX(StockDaily[Adjusted close],MAX(1,$A88-50+1)):E88)=50,AVERAGE(INDEX(StockDaily[Adjusted close],MAX(1,$A88-50+1)):E88),"n.a.")))</f>
        <v>n.a.</v>
      </c>
      <c r="G88" s="166" t="str">
        <f>IF($A88&gt;MIN($A$10,$A$2),"",IF($A88&lt;200,"n.a.",IF(COUNT(INDEX(StockDaily[Adjusted close],MAX(1,$A88-200+1)):E88)=200,AVERAGE(INDEX(StockDaily[Adjusted close],MAX(1,$A88-200+1)):E88),"n.a.")))</f>
        <v>n.a.</v>
      </c>
      <c r="H88" s="136" t="str">
        <f>IF($A88&gt;MIN($A$10,$A$2),"",IF($A$5="","Choose stock",IF(NOT($A$12),"Check split rule",IF(NOT(ISNUMBER(B88)),"Invalid date",IF(OR(B88&lt;=0,B88&lt;&gt;INT(B88)),"Invalid date",IF(COUNTIFS(DemoHistory[Date],B88)&lt;&gt;1,"Duplicate date",IF(AND($A88&gt;1,B88&lt;=B87),"Dates out of order",IF(NOT(ISNUMBER(C88)),"Missing price",IF(C88&lt;=0,"Nonpositive price","OK")))))))))</f>
        <v>OK</v>
      </c>
      <c r="I88" s="136"/>
      <c r="J88" s="136"/>
      <c r="K88" s="136"/>
      <c r="L88" s="136"/>
      <c r="M88" s="136"/>
      <c r="N88" s="136">
        <f t="shared" si="1"/>
        <v>496.73910000000001</v>
      </c>
      <c r="O88" s="136" t="e">
        <f t="shared" si="2"/>
        <v>#N/A</v>
      </c>
    </row>
    <row r="89" spans="1:15" ht="22.05" customHeight="1" x14ac:dyDescent="0.3">
      <c r="A89" s="136">
        <v>45</v>
      </c>
      <c r="B89" s="165">
        <f>IF($A89&gt;MIN($A$10,$A$2),"",INDEX(DemoHistory[Date],$A89))</f>
        <v>46164</v>
      </c>
      <c r="C89" s="166">
        <f>IF(OR($A89&gt;MIN($A$10,$A$2),$A$5=""),"",INDEX(DemoHistory[],$A89,MATCH($A$5,DemoHistory[#Headers],0)))</f>
        <v>497.32729999999998</v>
      </c>
      <c r="D89" s="166">
        <f>IF($A89&gt;MIN($A$10,$A$2),"",IF(AND($A$12,$A$6=1,B89&lt;$A$7,$A$7&lt;=MAX(DemoHistory[Date])),$A$8,1))</f>
        <v>1</v>
      </c>
      <c r="E89" s="166">
        <f t="shared" si="0"/>
        <v>497.32729999999998</v>
      </c>
      <c r="F89" s="166" t="str">
        <f>IF($A89&gt;MIN($A$10,$A$2),"",IF($A89&lt;50,"n.a.",IF(COUNT(INDEX(StockDaily[Adjusted close],MAX(1,$A89-50+1)):E89)=50,AVERAGE(INDEX(StockDaily[Adjusted close],MAX(1,$A89-50+1)):E89),"n.a.")))</f>
        <v>n.a.</v>
      </c>
      <c r="G89" s="166" t="str">
        <f>IF($A89&gt;MIN($A$10,$A$2),"",IF($A89&lt;200,"n.a.",IF(COUNT(INDEX(StockDaily[Adjusted close],MAX(1,$A89-200+1)):E89)=200,AVERAGE(INDEX(StockDaily[Adjusted close],MAX(1,$A89-200+1)):E89),"n.a.")))</f>
        <v>n.a.</v>
      </c>
      <c r="H89" s="136" t="str">
        <f>IF($A89&gt;MIN($A$10,$A$2),"",IF($A$5="","Choose stock",IF(NOT($A$12),"Check split rule",IF(NOT(ISNUMBER(B89)),"Invalid date",IF(OR(B89&lt;=0,B89&lt;&gt;INT(B89)),"Invalid date",IF(COUNTIFS(DemoHistory[Date],B89)&lt;&gt;1,"Duplicate date",IF(AND($A89&gt;1,B89&lt;=B88),"Dates out of order",IF(NOT(ISNUMBER(C89)),"Missing price",IF(C89&lt;=0,"Nonpositive price","OK")))))))))</f>
        <v>OK</v>
      </c>
      <c r="I89" s="136"/>
      <c r="J89" s="136"/>
      <c r="K89" s="136"/>
      <c r="L89" s="136"/>
      <c r="M89" s="136"/>
      <c r="N89" s="136">
        <f t="shared" si="1"/>
        <v>497.32729999999998</v>
      </c>
      <c r="O89" s="136" t="e">
        <f t="shared" si="2"/>
        <v>#N/A</v>
      </c>
    </row>
    <row r="90" spans="1:15" ht="22.05" customHeight="1" x14ac:dyDescent="0.3">
      <c r="A90" s="136">
        <v>46</v>
      </c>
      <c r="B90" s="165">
        <f>IF($A90&gt;MIN($A$10,$A$2),"",INDEX(DemoHistory[Date],$A90))</f>
        <v>46167</v>
      </c>
      <c r="C90" s="166">
        <f>IF(OR($A90&gt;MIN($A$10,$A$2),$A$5=""),"",INDEX(DemoHistory[],$A90,MATCH($A$5,DemoHistory[#Headers],0)))</f>
        <v>505.80930000000001</v>
      </c>
      <c r="D90" s="166">
        <f>IF($A90&gt;MIN($A$10,$A$2),"",IF(AND($A$12,$A$6=1,B90&lt;$A$7,$A$7&lt;=MAX(DemoHistory[Date])),$A$8,1))</f>
        <v>1</v>
      </c>
      <c r="E90" s="166">
        <f t="shared" si="0"/>
        <v>505.80930000000001</v>
      </c>
      <c r="F90" s="166" t="str">
        <f>IF($A90&gt;MIN($A$10,$A$2),"",IF($A90&lt;50,"n.a.",IF(COUNT(INDEX(StockDaily[Adjusted close],MAX(1,$A90-50+1)):E90)=50,AVERAGE(INDEX(StockDaily[Adjusted close],MAX(1,$A90-50+1)):E90),"n.a.")))</f>
        <v>n.a.</v>
      </c>
      <c r="G90" s="166" t="str">
        <f>IF($A90&gt;MIN($A$10,$A$2),"",IF($A90&lt;200,"n.a.",IF(COUNT(INDEX(StockDaily[Adjusted close],MAX(1,$A90-200+1)):E90)=200,AVERAGE(INDEX(StockDaily[Adjusted close],MAX(1,$A90-200+1)):E90),"n.a.")))</f>
        <v>n.a.</v>
      </c>
      <c r="H90" s="136" t="str">
        <f>IF($A90&gt;MIN($A$10,$A$2),"",IF($A$5="","Choose stock",IF(NOT($A$12),"Check split rule",IF(NOT(ISNUMBER(B90)),"Invalid date",IF(OR(B90&lt;=0,B90&lt;&gt;INT(B90)),"Invalid date",IF(COUNTIFS(DemoHistory[Date],B90)&lt;&gt;1,"Duplicate date",IF(AND($A90&gt;1,B90&lt;=B89),"Dates out of order",IF(NOT(ISNUMBER(C90)),"Missing price",IF(C90&lt;=0,"Nonpositive price","OK")))))))))</f>
        <v>OK</v>
      </c>
      <c r="I90" s="136"/>
      <c r="J90" s="136"/>
      <c r="K90" s="136"/>
      <c r="L90" s="136"/>
      <c r="M90" s="136"/>
      <c r="N90" s="136">
        <f t="shared" si="1"/>
        <v>505.80930000000001</v>
      </c>
      <c r="O90" s="136" t="e">
        <f t="shared" si="2"/>
        <v>#N/A</v>
      </c>
    </row>
    <row r="91" spans="1:15" ht="22.05" customHeight="1" x14ac:dyDescent="0.3">
      <c r="A91" s="136">
        <v>47</v>
      </c>
      <c r="B91" s="165">
        <f>IF($A91&gt;MIN($A$10,$A$2),"",INDEX(DemoHistory[Date],$A91))</f>
        <v>46168</v>
      </c>
      <c r="C91" s="166">
        <f>IF(OR($A91&gt;MIN($A$10,$A$2),$A$5=""),"",INDEX(DemoHistory[],$A91,MATCH($A$5,DemoHistory[#Headers],0)))</f>
        <v>508.1456</v>
      </c>
      <c r="D91" s="166">
        <f>IF($A91&gt;MIN($A$10,$A$2),"",IF(AND($A$12,$A$6=1,B91&lt;$A$7,$A$7&lt;=MAX(DemoHistory[Date])),$A$8,1))</f>
        <v>1</v>
      </c>
      <c r="E91" s="166">
        <f t="shared" si="0"/>
        <v>508.1456</v>
      </c>
      <c r="F91" s="166" t="str">
        <f>IF($A91&gt;MIN($A$10,$A$2),"",IF($A91&lt;50,"n.a.",IF(COUNT(INDEX(StockDaily[Adjusted close],MAX(1,$A91-50+1)):E91)=50,AVERAGE(INDEX(StockDaily[Adjusted close],MAX(1,$A91-50+1)):E91),"n.a.")))</f>
        <v>n.a.</v>
      </c>
      <c r="G91" s="166" t="str">
        <f>IF($A91&gt;MIN($A$10,$A$2),"",IF($A91&lt;200,"n.a.",IF(COUNT(INDEX(StockDaily[Adjusted close],MAX(1,$A91-200+1)):E91)=200,AVERAGE(INDEX(StockDaily[Adjusted close],MAX(1,$A91-200+1)):E91),"n.a.")))</f>
        <v>n.a.</v>
      </c>
      <c r="H91" s="136" t="str">
        <f>IF($A91&gt;MIN($A$10,$A$2),"",IF($A$5="","Choose stock",IF(NOT($A$12),"Check split rule",IF(NOT(ISNUMBER(B91)),"Invalid date",IF(OR(B91&lt;=0,B91&lt;&gt;INT(B91)),"Invalid date",IF(COUNTIFS(DemoHistory[Date],B91)&lt;&gt;1,"Duplicate date",IF(AND($A91&gt;1,B91&lt;=B90),"Dates out of order",IF(NOT(ISNUMBER(C91)),"Missing price",IF(C91&lt;=0,"Nonpositive price","OK")))))))))</f>
        <v>OK</v>
      </c>
      <c r="I91" s="136"/>
      <c r="J91" s="136"/>
      <c r="K91" s="136"/>
      <c r="L91" s="136"/>
      <c r="M91" s="136"/>
      <c r="N91" s="136">
        <f t="shared" si="1"/>
        <v>508.1456</v>
      </c>
      <c r="O91" s="136" t="e">
        <f t="shared" si="2"/>
        <v>#N/A</v>
      </c>
    </row>
    <row r="92" spans="1:15" ht="22.05" customHeight="1" x14ac:dyDescent="0.3">
      <c r="A92" s="136">
        <v>48</v>
      </c>
      <c r="B92" s="165">
        <f>IF($A92&gt;MIN($A$10,$A$2),"",INDEX(DemoHistory[Date],$A92))</f>
        <v>46169</v>
      </c>
      <c r="C92" s="166">
        <f>IF(OR($A92&gt;MIN($A$10,$A$2),$A$5=""),"",INDEX(DemoHistory[],$A92,MATCH($A$5,DemoHistory[#Headers],0)))</f>
        <v>512.49839999999995</v>
      </c>
      <c r="D92" s="166">
        <f>IF($A92&gt;MIN($A$10,$A$2),"",IF(AND($A$12,$A$6=1,B92&lt;$A$7,$A$7&lt;=MAX(DemoHistory[Date])),$A$8,1))</f>
        <v>1</v>
      </c>
      <c r="E92" s="166">
        <f t="shared" si="0"/>
        <v>512.49839999999995</v>
      </c>
      <c r="F92" s="166" t="str">
        <f>IF($A92&gt;MIN($A$10,$A$2),"",IF($A92&lt;50,"n.a.",IF(COUNT(INDEX(StockDaily[Adjusted close],MAX(1,$A92-50+1)):E92)=50,AVERAGE(INDEX(StockDaily[Adjusted close],MAX(1,$A92-50+1)):E92),"n.a.")))</f>
        <v>n.a.</v>
      </c>
      <c r="G92" s="166" t="str">
        <f>IF($A92&gt;MIN($A$10,$A$2),"",IF($A92&lt;200,"n.a.",IF(COUNT(INDEX(StockDaily[Adjusted close],MAX(1,$A92-200+1)):E92)=200,AVERAGE(INDEX(StockDaily[Adjusted close],MAX(1,$A92-200+1)):E92),"n.a.")))</f>
        <v>n.a.</v>
      </c>
      <c r="H92" s="136" t="str">
        <f>IF($A92&gt;MIN($A$10,$A$2),"",IF($A$5="","Choose stock",IF(NOT($A$12),"Check split rule",IF(NOT(ISNUMBER(B92)),"Invalid date",IF(OR(B92&lt;=0,B92&lt;&gt;INT(B92)),"Invalid date",IF(COUNTIFS(DemoHistory[Date],B92)&lt;&gt;1,"Duplicate date",IF(AND($A92&gt;1,B92&lt;=B91),"Dates out of order",IF(NOT(ISNUMBER(C92)),"Missing price",IF(C92&lt;=0,"Nonpositive price","OK")))))))))</f>
        <v>OK</v>
      </c>
      <c r="I92" s="136"/>
      <c r="J92" s="136"/>
      <c r="K92" s="136"/>
      <c r="L92" s="136"/>
      <c r="M92" s="136"/>
      <c r="N92" s="136">
        <f t="shared" si="1"/>
        <v>512.49839999999995</v>
      </c>
      <c r="O92" s="136" t="e">
        <f t="shared" si="2"/>
        <v>#N/A</v>
      </c>
    </row>
    <row r="93" spans="1:15" ht="22.05" customHeight="1" x14ac:dyDescent="0.3">
      <c r="A93" s="136">
        <v>49</v>
      </c>
      <c r="B93" s="165">
        <f>IF($A93&gt;MIN($A$10,$A$2),"",INDEX(DemoHistory[Date],$A93))</f>
        <v>46170</v>
      </c>
      <c r="C93" s="166">
        <f>IF(OR($A93&gt;MIN($A$10,$A$2),$A$5=""),"",INDEX(DemoHistory[],$A93,MATCH($A$5,DemoHistory[#Headers],0)))</f>
        <v>512.5412</v>
      </c>
      <c r="D93" s="166">
        <f>IF($A93&gt;MIN($A$10,$A$2),"",IF(AND($A$12,$A$6=1,B93&lt;$A$7,$A$7&lt;=MAX(DemoHistory[Date])),$A$8,1))</f>
        <v>1</v>
      </c>
      <c r="E93" s="166">
        <f t="shared" si="0"/>
        <v>512.5412</v>
      </c>
      <c r="F93" s="166" t="str">
        <f>IF($A93&gt;MIN($A$10,$A$2),"",IF($A93&lt;50,"n.a.",IF(COUNT(INDEX(StockDaily[Adjusted close],MAX(1,$A93-50+1)):E93)=50,AVERAGE(INDEX(StockDaily[Adjusted close],MAX(1,$A93-50+1)):E93),"n.a.")))</f>
        <v>n.a.</v>
      </c>
      <c r="G93" s="166" t="str">
        <f>IF($A93&gt;MIN($A$10,$A$2),"",IF($A93&lt;200,"n.a.",IF(COUNT(INDEX(StockDaily[Adjusted close],MAX(1,$A93-200+1)):E93)=200,AVERAGE(INDEX(StockDaily[Adjusted close],MAX(1,$A93-200+1)):E93),"n.a.")))</f>
        <v>n.a.</v>
      </c>
      <c r="H93" s="136" t="str">
        <f>IF($A93&gt;MIN($A$10,$A$2),"",IF($A$5="","Choose stock",IF(NOT($A$12),"Check split rule",IF(NOT(ISNUMBER(B93)),"Invalid date",IF(OR(B93&lt;=0,B93&lt;&gt;INT(B93)),"Invalid date",IF(COUNTIFS(DemoHistory[Date],B93)&lt;&gt;1,"Duplicate date",IF(AND($A93&gt;1,B93&lt;=B92),"Dates out of order",IF(NOT(ISNUMBER(C93)),"Missing price",IF(C93&lt;=0,"Nonpositive price","OK")))))))))</f>
        <v>OK</v>
      </c>
      <c r="I93" s="136"/>
      <c r="J93" s="136"/>
      <c r="K93" s="136"/>
      <c r="L93" s="136"/>
      <c r="M93" s="136"/>
      <c r="N93" s="136">
        <f t="shared" si="1"/>
        <v>512.5412</v>
      </c>
      <c r="O93" s="136" t="e">
        <f t="shared" si="2"/>
        <v>#N/A</v>
      </c>
    </row>
    <row r="94" spans="1:15" ht="22.05" customHeight="1" x14ac:dyDescent="0.3">
      <c r="A94" s="136">
        <v>50</v>
      </c>
      <c r="B94" s="165">
        <f>IF($A94&gt;MIN($A$10,$A$2),"",INDEX(DemoHistory[Date],$A94))</f>
        <v>46171</v>
      </c>
      <c r="C94" s="166">
        <f>IF(OR($A94&gt;MIN($A$10,$A$2),$A$5=""),"",INDEX(DemoHistory[],$A94,MATCH($A$5,DemoHistory[#Headers],0)))</f>
        <v>513.9384</v>
      </c>
      <c r="D94" s="166">
        <f>IF($A94&gt;MIN($A$10,$A$2),"",IF(AND($A$12,$A$6=1,B94&lt;$A$7,$A$7&lt;=MAX(DemoHistory[Date])),$A$8,1))</f>
        <v>1</v>
      </c>
      <c r="E94" s="166">
        <f t="shared" si="0"/>
        <v>513.9384</v>
      </c>
      <c r="F94" s="166">
        <f>IF($A94&gt;MIN($A$10,$A$2),"",IF($A94&lt;50,"n.a.",IF(COUNT(INDEX(StockDaily[Adjusted close],MAX(1,$A94-50+1)):E94)=50,AVERAGE(INDEX(StockDaily[Adjusted close],MAX(1,$A94-50+1)):E94),"n.a.")))</f>
        <v>523.87542800000006</v>
      </c>
      <c r="G94" s="166" t="str">
        <f>IF($A94&gt;MIN($A$10,$A$2),"",IF($A94&lt;200,"n.a.",IF(COUNT(INDEX(StockDaily[Adjusted close],MAX(1,$A94-200+1)):E94)=200,AVERAGE(INDEX(StockDaily[Adjusted close],MAX(1,$A94-200+1)):E94),"n.a.")))</f>
        <v>n.a.</v>
      </c>
      <c r="H94" s="136" t="str">
        <f>IF($A94&gt;MIN($A$10,$A$2),"",IF($A$5="","Choose stock",IF(NOT($A$12),"Check split rule",IF(NOT(ISNUMBER(B94)),"Invalid date",IF(OR(B94&lt;=0,B94&lt;&gt;INT(B94)),"Invalid date",IF(COUNTIFS(DemoHistory[Date],B94)&lt;&gt;1,"Duplicate date",IF(AND($A94&gt;1,B94&lt;=B93),"Dates out of order",IF(NOT(ISNUMBER(C94)),"Missing price",IF(C94&lt;=0,"Nonpositive price","OK")))))))))</f>
        <v>OK</v>
      </c>
      <c r="I94" s="136"/>
      <c r="J94" s="136"/>
      <c r="K94" s="136"/>
      <c r="L94" s="136"/>
      <c r="M94" s="136"/>
      <c r="N94" s="136">
        <f t="shared" si="1"/>
        <v>513.9384</v>
      </c>
      <c r="O94" s="136">
        <f t="shared" si="2"/>
        <v>523.87542800000006</v>
      </c>
    </row>
    <row r="95" spans="1:15" ht="22.05" customHeight="1" x14ac:dyDescent="0.3">
      <c r="A95" s="136">
        <v>51</v>
      </c>
      <c r="B95" s="165">
        <f>IF($A95&gt;MIN($A$10,$A$2),"",INDEX(DemoHistory[Date],$A95))</f>
        <v>46174</v>
      </c>
      <c r="C95" s="166">
        <f>IF(OR($A95&gt;MIN($A$10,$A$2),$A$5=""),"",INDEX(DemoHistory[],$A95,MATCH($A$5,DemoHistory[#Headers],0)))</f>
        <v>516.93100000000004</v>
      </c>
      <c r="D95" s="166">
        <f>IF($A95&gt;MIN($A$10,$A$2),"",IF(AND($A$12,$A$6=1,B95&lt;$A$7,$A$7&lt;=MAX(DemoHistory[Date])),$A$8,1))</f>
        <v>1</v>
      </c>
      <c r="E95" s="166">
        <f t="shared" si="0"/>
        <v>516.93100000000004</v>
      </c>
      <c r="F95" s="166">
        <f>IF($A95&gt;MIN($A$10,$A$2),"",IF($A95&lt;50,"n.a.",IF(COUNT(INDEX(StockDaily[Adjusted close],MAX(1,$A95-50+1)):E95)=50,AVERAGE(INDEX(StockDaily[Adjusted close],MAX(1,$A95-50+1)):E95),"n.a.")))</f>
        <v>523.21404800000005</v>
      </c>
      <c r="G95" s="166" t="str">
        <f>IF($A95&gt;MIN($A$10,$A$2),"",IF($A95&lt;200,"n.a.",IF(COUNT(INDEX(StockDaily[Adjusted close],MAX(1,$A95-200+1)):E95)=200,AVERAGE(INDEX(StockDaily[Adjusted close],MAX(1,$A95-200+1)):E95),"n.a.")))</f>
        <v>n.a.</v>
      </c>
      <c r="H95" s="136" t="str">
        <f>IF($A95&gt;MIN($A$10,$A$2),"",IF($A$5="","Choose stock",IF(NOT($A$12),"Check split rule",IF(NOT(ISNUMBER(B95)),"Invalid date",IF(OR(B95&lt;=0,B95&lt;&gt;INT(B95)),"Invalid date",IF(COUNTIFS(DemoHistory[Date],B95)&lt;&gt;1,"Duplicate date",IF(AND($A95&gt;1,B95&lt;=B94),"Dates out of order",IF(NOT(ISNUMBER(C95)),"Missing price",IF(C95&lt;=0,"Nonpositive price","OK")))))))))</f>
        <v>OK</v>
      </c>
      <c r="I95" s="136"/>
      <c r="J95" s="136"/>
      <c r="K95" s="136"/>
      <c r="L95" s="136"/>
      <c r="M95" s="136"/>
      <c r="N95" s="136">
        <f t="shared" si="1"/>
        <v>516.93100000000004</v>
      </c>
      <c r="O95" s="136">
        <f t="shared" si="2"/>
        <v>523.21404800000005</v>
      </c>
    </row>
    <row r="96" spans="1:15" ht="22.05" customHeight="1" x14ac:dyDescent="0.3">
      <c r="A96" s="136">
        <v>52</v>
      </c>
      <c r="B96" s="165">
        <f>IF($A96&gt;MIN($A$10,$A$2),"",INDEX(DemoHistory[Date],$A96))</f>
        <v>46175</v>
      </c>
      <c r="C96" s="166">
        <f>IF(OR($A96&gt;MIN($A$10,$A$2),$A$5=""),"",INDEX(DemoHistory[],$A96,MATCH($A$5,DemoHistory[#Headers],0)))</f>
        <v>519.87350000000004</v>
      </c>
      <c r="D96" s="166">
        <f>IF($A96&gt;MIN($A$10,$A$2),"",IF(AND($A$12,$A$6=1,B96&lt;$A$7,$A$7&lt;=MAX(DemoHistory[Date])),$A$8,1))</f>
        <v>1</v>
      </c>
      <c r="E96" s="166">
        <f t="shared" si="0"/>
        <v>519.87350000000004</v>
      </c>
      <c r="F96" s="166">
        <f>IF($A96&gt;MIN($A$10,$A$2),"",IF($A96&lt;50,"n.a.",IF(COUNT(INDEX(StockDaily[Adjusted close],MAX(1,$A96-50+1)):E96)=50,AVERAGE(INDEX(StockDaily[Adjusted close],MAX(1,$A96-50+1)):E96),"n.a.")))</f>
        <v>522.54619600000001</v>
      </c>
      <c r="G96" s="166" t="str">
        <f>IF($A96&gt;MIN($A$10,$A$2),"",IF($A96&lt;200,"n.a.",IF(COUNT(INDEX(StockDaily[Adjusted close],MAX(1,$A96-200+1)):E96)=200,AVERAGE(INDEX(StockDaily[Adjusted close],MAX(1,$A96-200+1)):E96),"n.a.")))</f>
        <v>n.a.</v>
      </c>
      <c r="H96" s="136" t="str">
        <f>IF($A96&gt;MIN($A$10,$A$2),"",IF($A$5="","Choose stock",IF(NOT($A$12),"Check split rule",IF(NOT(ISNUMBER(B96)),"Invalid date",IF(OR(B96&lt;=0,B96&lt;&gt;INT(B96)),"Invalid date",IF(COUNTIFS(DemoHistory[Date],B96)&lt;&gt;1,"Duplicate date",IF(AND($A96&gt;1,B96&lt;=B95),"Dates out of order",IF(NOT(ISNUMBER(C96)),"Missing price",IF(C96&lt;=0,"Nonpositive price","OK")))))))))</f>
        <v>OK</v>
      </c>
      <c r="I96" s="136"/>
      <c r="J96" s="136"/>
      <c r="K96" s="136"/>
      <c r="L96" s="136"/>
      <c r="M96" s="136"/>
      <c r="N96" s="136">
        <f t="shared" si="1"/>
        <v>519.87350000000004</v>
      </c>
      <c r="O96" s="136">
        <f t="shared" si="2"/>
        <v>522.54619600000001</v>
      </c>
    </row>
    <row r="97" spans="1:15" ht="22.05" customHeight="1" x14ac:dyDescent="0.3">
      <c r="A97" s="136">
        <v>53</v>
      </c>
      <c r="B97" s="165">
        <f>IF($A97&gt;MIN($A$10,$A$2),"",INDEX(DemoHistory[Date],$A97))</f>
        <v>46176</v>
      </c>
      <c r="C97" s="166">
        <f>IF(OR($A97&gt;MIN($A$10,$A$2),$A$5=""),"",INDEX(DemoHistory[],$A97,MATCH($A$5,DemoHistory[#Headers],0)))</f>
        <v>516.7627</v>
      </c>
      <c r="D97" s="166">
        <f>IF($A97&gt;MIN($A$10,$A$2),"",IF(AND($A$12,$A$6=1,B97&lt;$A$7,$A$7&lt;=MAX(DemoHistory[Date])),$A$8,1))</f>
        <v>1</v>
      </c>
      <c r="E97" s="166">
        <f t="shared" si="0"/>
        <v>516.7627</v>
      </c>
      <c r="F97" s="166">
        <f>IF($A97&gt;MIN($A$10,$A$2),"",IF($A97&lt;50,"n.a.",IF(COUNT(INDEX(StockDaily[Adjusted close],MAX(1,$A97-50+1)):E97)=50,AVERAGE(INDEX(StockDaily[Adjusted close],MAX(1,$A97-50+1)):E97),"n.a.")))</f>
        <v>521.86779600000011</v>
      </c>
      <c r="G97" s="166" t="str">
        <f>IF($A97&gt;MIN($A$10,$A$2),"",IF($A97&lt;200,"n.a.",IF(COUNT(INDEX(StockDaily[Adjusted close],MAX(1,$A97-200+1)):E97)=200,AVERAGE(INDEX(StockDaily[Adjusted close],MAX(1,$A97-200+1)):E97),"n.a.")))</f>
        <v>n.a.</v>
      </c>
      <c r="H97" s="136" t="str">
        <f>IF($A97&gt;MIN($A$10,$A$2),"",IF($A$5="","Choose stock",IF(NOT($A$12),"Check split rule",IF(NOT(ISNUMBER(B97)),"Invalid date",IF(OR(B97&lt;=0,B97&lt;&gt;INT(B97)),"Invalid date",IF(COUNTIFS(DemoHistory[Date],B97)&lt;&gt;1,"Duplicate date",IF(AND($A97&gt;1,B97&lt;=B96),"Dates out of order",IF(NOT(ISNUMBER(C97)),"Missing price",IF(C97&lt;=0,"Nonpositive price","OK")))))))))</f>
        <v>OK</v>
      </c>
      <c r="I97" s="136"/>
      <c r="J97" s="136"/>
      <c r="K97" s="136"/>
      <c r="L97" s="136"/>
      <c r="M97" s="136"/>
      <c r="N97" s="136">
        <f t="shared" si="1"/>
        <v>516.7627</v>
      </c>
      <c r="O97" s="136">
        <f t="shared" si="2"/>
        <v>521.86779600000011</v>
      </c>
    </row>
    <row r="98" spans="1:15" ht="22.05" customHeight="1" x14ac:dyDescent="0.3">
      <c r="A98" s="136">
        <v>54</v>
      </c>
      <c r="B98" s="165">
        <f>IF($A98&gt;MIN($A$10,$A$2),"",INDEX(DemoHistory[Date],$A98))</f>
        <v>46177</v>
      </c>
      <c r="C98" s="166">
        <f>IF(OR($A98&gt;MIN($A$10,$A$2),$A$5=""),"",INDEX(DemoHistory[],$A98,MATCH($A$5,DemoHistory[#Headers],0)))</f>
        <v>509.46390000000002</v>
      </c>
      <c r="D98" s="166">
        <f>IF($A98&gt;MIN($A$10,$A$2),"",IF(AND($A$12,$A$6=1,B98&lt;$A$7,$A$7&lt;=MAX(DemoHistory[Date])),$A$8,1))</f>
        <v>1</v>
      </c>
      <c r="E98" s="166">
        <f t="shared" si="0"/>
        <v>509.46390000000002</v>
      </c>
      <c r="F98" s="166">
        <f>IF($A98&gt;MIN($A$10,$A$2),"",IF($A98&lt;50,"n.a.",IF(COUNT(INDEX(StockDaily[Adjusted close],MAX(1,$A98-50+1)):E98)=50,AVERAGE(INDEX(StockDaily[Adjusted close],MAX(1,$A98-50+1)):E98),"n.a.")))</f>
        <v>520.97191000000009</v>
      </c>
      <c r="G98" s="166" t="str">
        <f>IF($A98&gt;MIN($A$10,$A$2),"",IF($A98&lt;200,"n.a.",IF(COUNT(INDEX(StockDaily[Adjusted close],MAX(1,$A98-200+1)):E98)=200,AVERAGE(INDEX(StockDaily[Adjusted close],MAX(1,$A98-200+1)):E98),"n.a.")))</f>
        <v>n.a.</v>
      </c>
      <c r="H98" s="136" t="str">
        <f>IF($A98&gt;MIN($A$10,$A$2),"",IF($A$5="","Choose stock",IF(NOT($A$12),"Check split rule",IF(NOT(ISNUMBER(B98)),"Invalid date",IF(OR(B98&lt;=0,B98&lt;&gt;INT(B98)),"Invalid date",IF(COUNTIFS(DemoHistory[Date],B98)&lt;&gt;1,"Duplicate date",IF(AND($A98&gt;1,B98&lt;=B97),"Dates out of order",IF(NOT(ISNUMBER(C98)),"Missing price",IF(C98&lt;=0,"Nonpositive price","OK")))))))))</f>
        <v>OK</v>
      </c>
      <c r="I98" s="136"/>
      <c r="J98" s="136"/>
      <c r="K98" s="136"/>
      <c r="L98" s="136"/>
      <c r="M98" s="136"/>
      <c r="N98" s="136">
        <f t="shared" si="1"/>
        <v>509.46390000000002</v>
      </c>
      <c r="O98" s="136">
        <f t="shared" si="2"/>
        <v>520.97191000000009</v>
      </c>
    </row>
    <row r="99" spans="1:15" ht="22.05" customHeight="1" x14ac:dyDescent="0.3">
      <c r="A99" s="136">
        <v>55</v>
      </c>
      <c r="B99" s="165">
        <f>IF($A99&gt;MIN($A$10,$A$2),"",INDEX(DemoHistory[Date],$A99))</f>
        <v>46178</v>
      </c>
      <c r="C99" s="166">
        <f>IF(OR($A99&gt;MIN($A$10,$A$2),$A$5=""),"",INDEX(DemoHistory[],$A99,MATCH($A$5,DemoHistory[#Headers],0)))</f>
        <v>512.33979999999997</v>
      </c>
      <c r="D99" s="166">
        <f>IF($A99&gt;MIN($A$10,$A$2),"",IF(AND($A$12,$A$6=1,B99&lt;$A$7,$A$7&lt;=MAX(DemoHistory[Date])),$A$8,1))</f>
        <v>1</v>
      </c>
      <c r="E99" s="166">
        <f t="shared" si="0"/>
        <v>512.33979999999997</v>
      </c>
      <c r="F99" s="166">
        <f>IF($A99&gt;MIN($A$10,$A$2),"",IF($A99&lt;50,"n.a.",IF(COUNT(INDEX(StockDaily[Adjusted close],MAX(1,$A99-50+1)):E99)=50,AVERAGE(INDEX(StockDaily[Adjusted close],MAX(1,$A99-50+1)):E99),"n.a.")))</f>
        <v>520.20346600000016</v>
      </c>
      <c r="G99" s="166" t="str">
        <f>IF($A99&gt;MIN($A$10,$A$2),"",IF($A99&lt;200,"n.a.",IF(COUNT(INDEX(StockDaily[Adjusted close],MAX(1,$A99-200+1)):E99)=200,AVERAGE(INDEX(StockDaily[Adjusted close],MAX(1,$A99-200+1)):E99),"n.a.")))</f>
        <v>n.a.</v>
      </c>
      <c r="H99" s="136" t="str">
        <f>IF($A99&gt;MIN($A$10,$A$2),"",IF($A$5="","Choose stock",IF(NOT($A$12),"Check split rule",IF(NOT(ISNUMBER(B99)),"Invalid date",IF(OR(B99&lt;=0,B99&lt;&gt;INT(B99)),"Invalid date",IF(COUNTIFS(DemoHistory[Date],B99)&lt;&gt;1,"Duplicate date",IF(AND($A99&gt;1,B99&lt;=B98),"Dates out of order",IF(NOT(ISNUMBER(C99)),"Missing price",IF(C99&lt;=0,"Nonpositive price","OK")))))))))</f>
        <v>OK</v>
      </c>
      <c r="I99" s="136"/>
      <c r="J99" s="136"/>
      <c r="K99" s="136"/>
      <c r="L99" s="136"/>
      <c r="M99" s="136"/>
      <c r="N99" s="136">
        <f t="shared" si="1"/>
        <v>512.33979999999997</v>
      </c>
      <c r="O99" s="136">
        <f t="shared" si="2"/>
        <v>520.20346600000016</v>
      </c>
    </row>
    <row r="100" spans="1:15" ht="22.05" customHeight="1" x14ac:dyDescent="0.3">
      <c r="A100" s="136">
        <v>56</v>
      </c>
      <c r="B100" s="165">
        <f>IF($A100&gt;MIN($A$10,$A$2),"",INDEX(DemoHistory[Date],$A100))</f>
        <v>46181</v>
      </c>
      <c r="C100" s="166">
        <f>IF(OR($A100&gt;MIN($A$10,$A$2),$A$5=""),"",INDEX(DemoHistory[],$A100,MATCH($A$5,DemoHistory[#Headers],0)))</f>
        <v>518.87580000000003</v>
      </c>
      <c r="D100" s="166">
        <f>IF($A100&gt;MIN($A$10,$A$2),"",IF(AND($A$12,$A$6=1,B100&lt;$A$7,$A$7&lt;=MAX(DemoHistory[Date])),$A$8,1))</f>
        <v>1</v>
      </c>
      <c r="E100" s="166">
        <f t="shared" si="0"/>
        <v>518.87580000000003</v>
      </c>
      <c r="F100" s="166">
        <f>IF($A100&gt;MIN($A$10,$A$2),"",IF($A100&lt;50,"n.a.",IF(COUNT(INDEX(StockDaily[Adjusted close],MAX(1,$A100-50+1)):E100)=50,AVERAGE(INDEX(StockDaily[Adjusted close],MAX(1,$A100-50+1)):E100),"n.a.")))</f>
        <v>519.59676200000013</v>
      </c>
      <c r="G100" s="166" t="str">
        <f>IF($A100&gt;MIN($A$10,$A$2),"",IF($A100&lt;200,"n.a.",IF(COUNT(INDEX(StockDaily[Adjusted close],MAX(1,$A100-200+1)):E100)=200,AVERAGE(INDEX(StockDaily[Adjusted close],MAX(1,$A100-200+1)):E100),"n.a.")))</f>
        <v>n.a.</v>
      </c>
      <c r="H100" s="136" t="str">
        <f>IF($A100&gt;MIN($A$10,$A$2),"",IF($A$5="","Choose stock",IF(NOT($A$12),"Check split rule",IF(NOT(ISNUMBER(B100)),"Invalid date",IF(OR(B100&lt;=0,B100&lt;&gt;INT(B100)),"Invalid date",IF(COUNTIFS(DemoHistory[Date],B100)&lt;&gt;1,"Duplicate date",IF(AND($A100&gt;1,B100&lt;=B99),"Dates out of order",IF(NOT(ISNUMBER(C100)),"Missing price",IF(C100&lt;=0,"Nonpositive price","OK")))))))))</f>
        <v>OK</v>
      </c>
      <c r="I100" s="136"/>
      <c r="J100" s="136"/>
      <c r="K100" s="136"/>
      <c r="L100" s="136"/>
      <c r="M100" s="136"/>
      <c r="N100" s="136">
        <f t="shared" si="1"/>
        <v>518.87580000000003</v>
      </c>
      <c r="O100" s="136">
        <f t="shared" si="2"/>
        <v>519.59676200000013</v>
      </c>
    </row>
    <row r="101" spans="1:15" ht="22.05" customHeight="1" x14ac:dyDescent="0.3">
      <c r="A101" s="136">
        <v>57</v>
      </c>
      <c r="B101" s="165">
        <f>IF($A101&gt;MIN($A$10,$A$2),"",INDEX(DemoHistory[Date],$A101))</f>
        <v>46182</v>
      </c>
      <c r="C101" s="166">
        <f>IF(OR($A101&gt;MIN($A$10,$A$2),$A$5=""),"",INDEX(DemoHistory[],$A101,MATCH($A$5,DemoHistory[#Headers],0)))</f>
        <v>519.43129999999996</v>
      </c>
      <c r="D101" s="166">
        <f>IF($A101&gt;MIN($A$10,$A$2),"",IF(AND($A$12,$A$6=1,B101&lt;$A$7,$A$7&lt;=MAX(DemoHistory[Date])),$A$8,1))</f>
        <v>1</v>
      </c>
      <c r="E101" s="166">
        <f t="shared" si="0"/>
        <v>519.43129999999996</v>
      </c>
      <c r="F101" s="166">
        <f>IF($A101&gt;MIN($A$10,$A$2),"",IF($A101&lt;50,"n.a.",IF(COUNT(INDEX(StockDaily[Adjusted close],MAX(1,$A101-50+1)):E101)=50,AVERAGE(INDEX(StockDaily[Adjusted close],MAX(1,$A101-50+1)):E101),"n.a.")))</f>
        <v>518.88790200000005</v>
      </c>
      <c r="G101" s="166" t="str">
        <f>IF($A101&gt;MIN($A$10,$A$2),"",IF($A101&lt;200,"n.a.",IF(COUNT(INDEX(StockDaily[Adjusted close],MAX(1,$A101-200+1)):E101)=200,AVERAGE(INDEX(StockDaily[Adjusted close],MAX(1,$A101-200+1)):E101),"n.a.")))</f>
        <v>n.a.</v>
      </c>
      <c r="H101" s="136" t="str">
        <f>IF($A101&gt;MIN($A$10,$A$2),"",IF($A$5="","Choose stock",IF(NOT($A$12),"Check split rule",IF(NOT(ISNUMBER(B101)),"Invalid date",IF(OR(B101&lt;=0,B101&lt;&gt;INT(B101)),"Invalid date",IF(COUNTIFS(DemoHistory[Date],B101)&lt;&gt;1,"Duplicate date",IF(AND($A101&gt;1,B101&lt;=B100),"Dates out of order",IF(NOT(ISNUMBER(C101)),"Missing price",IF(C101&lt;=0,"Nonpositive price","OK")))))))))</f>
        <v>OK</v>
      </c>
      <c r="I101" s="136"/>
      <c r="J101" s="136"/>
      <c r="K101" s="136"/>
      <c r="L101" s="136"/>
      <c r="M101" s="136"/>
      <c r="N101" s="136">
        <f t="shared" si="1"/>
        <v>519.43129999999996</v>
      </c>
      <c r="O101" s="136">
        <f t="shared" si="2"/>
        <v>518.88790200000005</v>
      </c>
    </row>
    <row r="102" spans="1:15" ht="22.05" customHeight="1" x14ac:dyDescent="0.3">
      <c r="A102" s="136">
        <v>58</v>
      </c>
      <c r="B102" s="165">
        <f>IF($A102&gt;MIN($A$10,$A$2),"",INDEX(DemoHistory[Date],$A102))</f>
        <v>46183</v>
      </c>
      <c r="C102" s="166">
        <f>IF(OR($A102&gt;MIN($A$10,$A$2),$A$5=""),"",INDEX(DemoHistory[],$A102,MATCH($A$5,DemoHistory[#Headers],0)))</f>
        <v>515.17070000000001</v>
      </c>
      <c r="D102" s="166">
        <f>IF($A102&gt;MIN($A$10,$A$2),"",IF(AND($A$12,$A$6=1,B102&lt;$A$7,$A$7&lt;=MAX(DemoHistory[Date])),$A$8,1))</f>
        <v>1</v>
      </c>
      <c r="E102" s="166">
        <f t="shared" si="0"/>
        <v>515.17070000000001</v>
      </c>
      <c r="F102" s="166">
        <f>IF($A102&gt;MIN($A$10,$A$2),"",IF($A102&lt;50,"n.a.",IF(COUNT(INDEX(StockDaily[Adjusted close],MAX(1,$A102-50+1)):E102)=50,AVERAGE(INDEX(StockDaily[Adjusted close],MAX(1,$A102-50+1)):E102),"n.a.")))</f>
        <v>518.16997600000013</v>
      </c>
      <c r="G102" s="166" t="str">
        <f>IF($A102&gt;MIN($A$10,$A$2),"",IF($A102&lt;200,"n.a.",IF(COUNT(INDEX(StockDaily[Adjusted close],MAX(1,$A102-200+1)):E102)=200,AVERAGE(INDEX(StockDaily[Adjusted close],MAX(1,$A102-200+1)):E102),"n.a.")))</f>
        <v>n.a.</v>
      </c>
      <c r="H102" s="136" t="str">
        <f>IF($A102&gt;MIN($A$10,$A$2),"",IF($A$5="","Choose stock",IF(NOT($A$12),"Check split rule",IF(NOT(ISNUMBER(B102)),"Invalid date",IF(OR(B102&lt;=0,B102&lt;&gt;INT(B102)),"Invalid date",IF(COUNTIFS(DemoHistory[Date],B102)&lt;&gt;1,"Duplicate date",IF(AND($A102&gt;1,B102&lt;=B101),"Dates out of order",IF(NOT(ISNUMBER(C102)),"Missing price",IF(C102&lt;=0,"Nonpositive price","OK")))))))))</f>
        <v>OK</v>
      </c>
      <c r="I102" s="136"/>
      <c r="J102" s="136"/>
      <c r="K102" s="136"/>
      <c r="L102" s="136"/>
      <c r="M102" s="136"/>
      <c r="N102" s="136">
        <f t="shared" si="1"/>
        <v>515.17070000000001</v>
      </c>
      <c r="O102" s="136">
        <f t="shared" si="2"/>
        <v>518.16997600000013</v>
      </c>
    </row>
    <row r="103" spans="1:15" ht="22.05" customHeight="1" x14ac:dyDescent="0.3">
      <c r="A103" s="136">
        <v>59</v>
      </c>
      <c r="B103" s="165">
        <f>IF($A103&gt;MIN($A$10,$A$2),"",INDEX(DemoHistory[Date],$A103))</f>
        <v>46184</v>
      </c>
      <c r="C103" s="166">
        <f>IF(OR($A103&gt;MIN($A$10,$A$2),$A$5=""),"",INDEX(DemoHistory[],$A103,MATCH($A$5,DemoHistory[#Headers],0)))</f>
        <v>511.01260000000002</v>
      </c>
      <c r="D103" s="166">
        <f>IF($A103&gt;MIN($A$10,$A$2),"",IF(AND($A$12,$A$6=1,B103&lt;$A$7,$A$7&lt;=MAX(DemoHistory[Date])),$A$8,1))</f>
        <v>1</v>
      </c>
      <c r="E103" s="166">
        <f t="shared" si="0"/>
        <v>511.01260000000002</v>
      </c>
      <c r="F103" s="166">
        <f>IF($A103&gt;MIN($A$10,$A$2),"",IF($A103&lt;50,"n.a.",IF(COUNT(INDEX(StockDaily[Adjusted close],MAX(1,$A103-50+1)):E103)=50,AVERAGE(INDEX(StockDaily[Adjusted close],MAX(1,$A103-50+1)):E103),"n.a.")))</f>
        <v>517.44772999999998</v>
      </c>
      <c r="G103" s="166" t="str">
        <f>IF($A103&gt;MIN($A$10,$A$2),"",IF($A103&lt;200,"n.a.",IF(COUNT(INDEX(StockDaily[Adjusted close],MAX(1,$A103-200+1)):E103)=200,AVERAGE(INDEX(StockDaily[Adjusted close],MAX(1,$A103-200+1)):E103),"n.a.")))</f>
        <v>n.a.</v>
      </c>
      <c r="H103" s="136" t="str">
        <f>IF($A103&gt;MIN($A$10,$A$2),"",IF($A$5="","Choose stock",IF(NOT($A$12),"Check split rule",IF(NOT(ISNUMBER(B103)),"Invalid date",IF(OR(B103&lt;=0,B103&lt;&gt;INT(B103)),"Invalid date",IF(COUNTIFS(DemoHistory[Date],B103)&lt;&gt;1,"Duplicate date",IF(AND($A103&gt;1,B103&lt;=B102),"Dates out of order",IF(NOT(ISNUMBER(C103)),"Missing price",IF(C103&lt;=0,"Nonpositive price","OK")))))))))</f>
        <v>OK</v>
      </c>
      <c r="I103" s="136"/>
      <c r="J103" s="136"/>
      <c r="K103" s="136"/>
      <c r="L103" s="136"/>
      <c r="M103" s="136"/>
      <c r="N103" s="136">
        <f t="shared" si="1"/>
        <v>511.01260000000002</v>
      </c>
      <c r="O103" s="136">
        <f t="shared" si="2"/>
        <v>517.44772999999998</v>
      </c>
    </row>
    <row r="104" spans="1:15" ht="22.05" customHeight="1" x14ac:dyDescent="0.3">
      <c r="A104" s="136">
        <v>60</v>
      </c>
      <c r="B104" s="165">
        <f>IF($A104&gt;MIN($A$10,$A$2),"",INDEX(DemoHistory[Date],$A104))</f>
        <v>46185</v>
      </c>
      <c r="C104" s="166">
        <f>IF(OR($A104&gt;MIN($A$10,$A$2),$A$5=""),"",INDEX(DemoHistory[],$A104,MATCH($A$5,DemoHistory[#Headers],0)))</f>
        <v>514.15610000000004</v>
      </c>
      <c r="D104" s="166">
        <f>IF($A104&gt;MIN($A$10,$A$2),"",IF(AND($A$12,$A$6=1,B104&lt;$A$7,$A$7&lt;=MAX(DemoHistory[Date])),$A$8,1))</f>
        <v>1</v>
      </c>
      <c r="E104" s="166">
        <f t="shared" si="0"/>
        <v>514.15610000000004</v>
      </c>
      <c r="F104" s="166">
        <f>IF($A104&gt;MIN($A$10,$A$2),"",IF($A104&lt;50,"n.a.",IF(COUNT(INDEX(StockDaily[Adjusted close],MAX(1,$A104-50+1)):E104)=50,AVERAGE(INDEX(StockDaily[Adjusted close],MAX(1,$A104-50+1)):E104),"n.a.")))</f>
        <v>516.71665000000007</v>
      </c>
      <c r="G104" s="166" t="str">
        <f>IF($A104&gt;MIN($A$10,$A$2),"",IF($A104&lt;200,"n.a.",IF(COUNT(INDEX(StockDaily[Adjusted close],MAX(1,$A104-200+1)):E104)=200,AVERAGE(INDEX(StockDaily[Adjusted close],MAX(1,$A104-200+1)):E104),"n.a.")))</f>
        <v>n.a.</v>
      </c>
      <c r="H104" s="136" t="str">
        <f>IF($A104&gt;MIN($A$10,$A$2),"",IF($A$5="","Choose stock",IF(NOT($A$12),"Check split rule",IF(NOT(ISNUMBER(B104)),"Invalid date",IF(OR(B104&lt;=0,B104&lt;&gt;INT(B104)),"Invalid date",IF(COUNTIFS(DemoHistory[Date],B104)&lt;&gt;1,"Duplicate date",IF(AND($A104&gt;1,B104&lt;=B103),"Dates out of order",IF(NOT(ISNUMBER(C104)),"Missing price",IF(C104&lt;=0,"Nonpositive price","OK")))))))))</f>
        <v>OK</v>
      </c>
      <c r="I104" s="136"/>
      <c r="J104" s="136"/>
      <c r="K104" s="136"/>
      <c r="L104" s="136"/>
      <c r="M104" s="136"/>
      <c r="N104" s="136">
        <f t="shared" si="1"/>
        <v>514.15610000000004</v>
      </c>
      <c r="O104" s="136">
        <f t="shared" si="2"/>
        <v>516.71665000000007</v>
      </c>
    </row>
    <row r="105" spans="1:15" ht="22.05" customHeight="1" x14ac:dyDescent="0.3">
      <c r="A105" s="136">
        <v>61</v>
      </c>
      <c r="B105" s="165">
        <f>IF($A105&gt;MIN($A$10,$A$2),"",INDEX(DemoHistory[Date],$A105))</f>
        <v>46188</v>
      </c>
      <c r="C105" s="166">
        <f>IF(OR($A105&gt;MIN($A$10,$A$2),$A$5=""),"",INDEX(DemoHistory[],$A105,MATCH($A$5,DemoHistory[#Headers],0)))</f>
        <v>513.06899999999996</v>
      </c>
      <c r="D105" s="166">
        <f>IF($A105&gt;MIN($A$10,$A$2),"",IF(AND($A$12,$A$6=1,B105&lt;$A$7,$A$7&lt;=MAX(DemoHistory[Date])),$A$8,1))</f>
        <v>1</v>
      </c>
      <c r="E105" s="166">
        <f t="shared" si="0"/>
        <v>513.06899999999996</v>
      </c>
      <c r="F105" s="166">
        <f>IF($A105&gt;MIN($A$10,$A$2),"",IF($A105&lt;50,"n.a.",IF(COUNT(INDEX(StockDaily[Adjusted close],MAX(1,$A105-50+1)):E105)=50,AVERAGE(INDEX(StockDaily[Adjusted close],MAX(1,$A105-50+1)):E105),"n.a.")))</f>
        <v>516.03299800000002</v>
      </c>
      <c r="G105" s="166" t="str">
        <f>IF($A105&gt;MIN($A$10,$A$2),"",IF($A105&lt;200,"n.a.",IF(COUNT(INDEX(StockDaily[Adjusted close],MAX(1,$A105-200+1)):E105)=200,AVERAGE(INDEX(StockDaily[Adjusted close],MAX(1,$A105-200+1)):E105),"n.a.")))</f>
        <v>n.a.</v>
      </c>
      <c r="H105" s="136" t="str">
        <f>IF($A105&gt;MIN($A$10,$A$2),"",IF($A$5="","Choose stock",IF(NOT($A$12),"Check split rule",IF(NOT(ISNUMBER(B105)),"Invalid date",IF(OR(B105&lt;=0,B105&lt;&gt;INT(B105)),"Invalid date",IF(COUNTIFS(DemoHistory[Date],B105)&lt;&gt;1,"Duplicate date",IF(AND($A105&gt;1,B105&lt;=B104),"Dates out of order",IF(NOT(ISNUMBER(C105)),"Missing price",IF(C105&lt;=0,"Nonpositive price","OK")))))))))</f>
        <v>OK</v>
      </c>
      <c r="I105" s="136"/>
      <c r="J105" s="136"/>
      <c r="K105" s="136"/>
      <c r="L105" s="136"/>
      <c r="M105" s="136"/>
      <c r="N105" s="136">
        <f t="shared" si="1"/>
        <v>513.06899999999996</v>
      </c>
      <c r="O105" s="136">
        <f t="shared" si="2"/>
        <v>516.03299800000002</v>
      </c>
    </row>
    <row r="106" spans="1:15" ht="22.05" customHeight="1" x14ac:dyDescent="0.3">
      <c r="A106" s="136">
        <v>62</v>
      </c>
      <c r="B106" s="165">
        <f>IF($A106&gt;MIN($A$10,$A$2),"",INDEX(DemoHistory[Date],$A106))</f>
        <v>46189</v>
      </c>
      <c r="C106" s="166">
        <f>IF(OR($A106&gt;MIN($A$10,$A$2),$A$5=""),"",INDEX(DemoHistory[],$A106,MATCH($A$5,DemoHistory[#Headers],0)))</f>
        <v>513.77070000000003</v>
      </c>
      <c r="D106" s="166">
        <f>IF($A106&gt;MIN($A$10,$A$2),"",IF(AND($A$12,$A$6=1,B106&lt;$A$7,$A$7&lt;=MAX(DemoHistory[Date])),$A$8,1))</f>
        <v>1</v>
      </c>
      <c r="E106" s="166">
        <f t="shared" si="0"/>
        <v>513.77070000000003</v>
      </c>
      <c r="F106" s="166">
        <f>IF($A106&gt;MIN($A$10,$A$2),"",IF($A106&lt;50,"n.a.",IF(COUNT(INDEX(StockDaily[Adjusted close],MAX(1,$A106-50+1)):E106)=50,AVERAGE(INDEX(StockDaily[Adjusted close],MAX(1,$A106-50+1)):E106),"n.a.")))</f>
        <v>515.32672000000002</v>
      </c>
      <c r="G106" s="166" t="str">
        <f>IF($A106&gt;MIN($A$10,$A$2),"",IF($A106&lt;200,"n.a.",IF(COUNT(INDEX(StockDaily[Adjusted close],MAX(1,$A106-200+1)):E106)=200,AVERAGE(INDEX(StockDaily[Adjusted close],MAX(1,$A106-200+1)):E106),"n.a.")))</f>
        <v>n.a.</v>
      </c>
      <c r="H106" s="136" t="str">
        <f>IF($A106&gt;MIN($A$10,$A$2),"",IF($A$5="","Choose stock",IF(NOT($A$12),"Check split rule",IF(NOT(ISNUMBER(B106)),"Invalid date",IF(OR(B106&lt;=0,B106&lt;&gt;INT(B106)),"Invalid date",IF(COUNTIFS(DemoHistory[Date],B106)&lt;&gt;1,"Duplicate date",IF(AND($A106&gt;1,B106&lt;=B105),"Dates out of order",IF(NOT(ISNUMBER(C106)),"Missing price",IF(C106&lt;=0,"Nonpositive price","OK")))))))))</f>
        <v>OK</v>
      </c>
      <c r="I106" s="136"/>
      <c r="J106" s="136"/>
      <c r="K106" s="136"/>
      <c r="L106" s="136"/>
      <c r="M106" s="136"/>
      <c r="N106" s="136">
        <f t="shared" si="1"/>
        <v>513.77070000000003</v>
      </c>
      <c r="O106" s="136">
        <f t="shared" si="2"/>
        <v>515.32672000000002</v>
      </c>
    </row>
    <row r="107" spans="1:15" ht="22.05" customHeight="1" x14ac:dyDescent="0.3">
      <c r="A107" s="136">
        <v>63</v>
      </c>
      <c r="B107" s="165">
        <f>IF($A107&gt;MIN($A$10,$A$2),"",INDEX(DemoHistory[Date],$A107))</f>
        <v>46190</v>
      </c>
      <c r="C107" s="166">
        <f>IF(OR($A107&gt;MIN($A$10,$A$2),$A$5=""),"",INDEX(DemoHistory[],$A107,MATCH($A$5,DemoHistory[#Headers],0)))</f>
        <v>519.43230000000005</v>
      </c>
      <c r="D107" s="166">
        <f>IF($A107&gt;MIN($A$10,$A$2),"",IF(AND($A$12,$A$6=1,B107&lt;$A$7,$A$7&lt;=MAX(DemoHistory[Date])),$A$8,1))</f>
        <v>1</v>
      </c>
      <c r="E107" s="166">
        <f t="shared" si="0"/>
        <v>519.43230000000005</v>
      </c>
      <c r="F107" s="166">
        <f>IF($A107&gt;MIN($A$10,$A$2),"",IF($A107&lt;50,"n.a.",IF(COUNT(INDEX(StockDaily[Adjusted close],MAX(1,$A107-50+1)):E107)=50,AVERAGE(INDEX(StockDaily[Adjusted close],MAX(1,$A107-50+1)):E107),"n.a.")))</f>
        <v>514.83458600000006</v>
      </c>
      <c r="G107" s="166" t="str">
        <f>IF($A107&gt;MIN($A$10,$A$2),"",IF($A107&lt;200,"n.a.",IF(COUNT(INDEX(StockDaily[Adjusted close],MAX(1,$A107-200+1)):E107)=200,AVERAGE(INDEX(StockDaily[Adjusted close],MAX(1,$A107-200+1)):E107),"n.a.")))</f>
        <v>n.a.</v>
      </c>
      <c r="H107" s="136" t="str">
        <f>IF($A107&gt;MIN($A$10,$A$2),"",IF($A$5="","Choose stock",IF(NOT($A$12),"Check split rule",IF(NOT(ISNUMBER(B107)),"Invalid date",IF(OR(B107&lt;=0,B107&lt;&gt;INT(B107)),"Invalid date",IF(COUNTIFS(DemoHistory[Date],B107)&lt;&gt;1,"Duplicate date",IF(AND($A107&gt;1,B107&lt;=B106),"Dates out of order",IF(NOT(ISNUMBER(C107)),"Missing price",IF(C107&lt;=0,"Nonpositive price","OK")))))))))</f>
        <v>OK</v>
      </c>
      <c r="I107" s="136"/>
      <c r="J107" s="136"/>
      <c r="K107" s="136"/>
      <c r="L107" s="136"/>
      <c r="M107" s="136"/>
      <c r="N107" s="136">
        <f t="shared" si="1"/>
        <v>519.43230000000005</v>
      </c>
      <c r="O107" s="136">
        <f t="shared" si="2"/>
        <v>514.83458600000006</v>
      </c>
    </row>
    <row r="108" spans="1:15" ht="22.05" customHeight="1" x14ac:dyDescent="0.3">
      <c r="A108" s="136">
        <v>64</v>
      </c>
      <c r="B108" s="165">
        <f>IF($A108&gt;MIN($A$10,$A$2),"",INDEX(DemoHistory[Date],$A108))</f>
        <v>46191</v>
      </c>
      <c r="C108" s="166">
        <f>IF(OR($A108&gt;MIN($A$10,$A$2),$A$5=""),"",INDEX(DemoHistory[],$A108,MATCH($A$5,DemoHistory[#Headers],0)))</f>
        <v>516.85400000000004</v>
      </c>
      <c r="D108" s="166">
        <f>IF($A108&gt;MIN($A$10,$A$2),"",IF(AND($A$12,$A$6=1,B108&lt;$A$7,$A$7&lt;=MAX(DemoHistory[Date])),$A$8,1))</f>
        <v>1</v>
      </c>
      <c r="E108" s="166">
        <f t="shared" si="0"/>
        <v>516.85400000000004</v>
      </c>
      <c r="F108" s="166">
        <f>IF($A108&gt;MIN($A$10,$A$2),"",IF($A108&lt;50,"n.a.",IF(COUNT(INDEX(StockDaily[Adjusted close],MAX(1,$A108-50+1)):E108)=50,AVERAGE(INDEX(StockDaily[Adjusted close],MAX(1,$A108-50+1)):E108),"n.a.")))</f>
        <v>514.26354200000014</v>
      </c>
      <c r="G108" s="166" t="str">
        <f>IF($A108&gt;MIN($A$10,$A$2),"",IF($A108&lt;200,"n.a.",IF(COUNT(INDEX(StockDaily[Adjusted close],MAX(1,$A108-200+1)):E108)=200,AVERAGE(INDEX(StockDaily[Adjusted close],MAX(1,$A108-200+1)):E108),"n.a.")))</f>
        <v>n.a.</v>
      </c>
      <c r="H108" s="136" t="str">
        <f>IF($A108&gt;MIN($A$10,$A$2),"",IF($A$5="","Choose stock",IF(NOT($A$12),"Check split rule",IF(NOT(ISNUMBER(B108)),"Invalid date",IF(OR(B108&lt;=0,B108&lt;&gt;INT(B108)),"Invalid date",IF(COUNTIFS(DemoHistory[Date],B108)&lt;&gt;1,"Duplicate date",IF(AND($A108&gt;1,B108&lt;=B107),"Dates out of order",IF(NOT(ISNUMBER(C108)),"Missing price",IF(C108&lt;=0,"Nonpositive price","OK")))))))))</f>
        <v>OK</v>
      </c>
      <c r="I108" s="136"/>
      <c r="J108" s="136"/>
      <c r="K108" s="136"/>
      <c r="L108" s="136"/>
      <c r="M108" s="136"/>
      <c r="N108" s="136">
        <f t="shared" si="1"/>
        <v>516.85400000000004</v>
      </c>
      <c r="O108" s="136">
        <f t="shared" si="2"/>
        <v>514.26354200000014</v>
      </c>
    </row>
    <row r="109" spans="1:15" ht="22.05" customHeight="1" x14ac:dyDescent="0.3">
      <c r="A109" s="136">
        <v>65</v>
      </c>
      <c r="B109" s="165">
        <f>IF($A109&gt;MIN($A$10,$A$2),"",INDEX(DemoHistory[Date],$A109))</f>
        <v>46192</v>
      </c>
      <c r="C109" s="166">
        <f>IF(OR($A109&gt;MIN($A$10,$A$2),$A$5=""),"",INDEX(DemoHistory[],$A109,MATCH($A$5,DemoHistory[#Headers],0)))</f>
        <v>521.60239999999999</v>
      </c>
      <c r="D109" s="166">
        <f>IF($A109&gt;MIN($A$10,$A$2),"",IF(AND($A$12,$A$6=1,B109&lt;$A$7,$A$7&lt;=MAX(DemoHistory[Date])),$A$8,1))</f>
        <v>1</v>
      </c>
      <c r="E109" s="166">
        <f t="shared" ref="E109:E172" si="3">IF($A109&gt;MIN($A$10,$A$2),"",IF(H109="OK",C109/D109,"n.a."))</f>
        <v>521.60239999999999</v>
      </c>
      <c r="F109" s="166">
        <f>IF($A109&gt;MIN($A$10,$A$2),"",IF($A109&lt;50,"n.a.",IF(COUNT(INDEX(StockDaily[Adjusted close],MAX(1,$A109-50+1)):E109)=50,AVERAGE(INDEX(StockDaily[Adjusted close],MAX(1,$A109-50+1)):E109),"n.a.")))</f>
        <v>513.92489400000011</v>
      </c>
      <c r="G109" s="166" t="str">
        <f>IF($A109&gt;MIN($A$10,$A$2),"",IF($A109&lt;200,"n.a.",IF(COUNT(INDEX(StockDaily[Adjusted close],MAX(1,$A109-200+1)):E109)=200,AVERAGE(INDEX(StockDaily[Adjusted close],MAX(1,$A109-200+1)):E109),"n.a.")))</f>
        <v>n.a.</v>
      </c>
      <c r="H109" s="136" t="str">
        <f>IF($A109&gt;MIN($A$10,$A$2),"",IF($A$5="","Choose stock",IF(NOT($A$12),"Check split rule",IF(NOT(ISNUMBER(B109)),"Invalid date",IF(OR(B109&lt;=0,B109&lt;&gt;INT(B109)),"Invalid date",IF(COUNTIFS(DemoHistory[Date],B109)&lt;&gt;1,"Duplicate date",IF(AND($A109&gt;1,B109&lt;=B108),"Dates out of order",IF(NOT(ISNUMBER(C109)),"Missing price",IF(C109&lt;=0,"Nonpositive price","OK")))))))))</f>
        <v>OK</v>
      </c>
      <c r="I109" s="136"/>
      <c r="J109" s="136"/>
      <c r="K109" s="136"/>
      <c r="L109" s="136"/>
      <c r="M109" s="136"/>
      <c r="N109" s="136">
        <f t="shared" ref="N109:N172" si="4">IF(AND($A$13="Ready",ISNUMBER(E109)),E109,NA())</f>
        <v>521.60239999999999</v>
      </c>
      <c r="O109" s="136">
        <f t="shared" ref="O109:O172" si="5">IF(AND($A$13="Ready",ISNUMBER(F109)),F109,NA())</f>
        <v>513.92489400000011</v>
      </c>
    </row>
    <row r="110" spans="1:15" ht="22.05" customHeight="1" x14ac:dyDescent="0.3">
      <c r="A110" s="136">
        <v>66</v>
      </c>
      <c r="B110" s="165">
        <f>IF($A110&gt;MIN($A$10,$A$2),"",INDEX(DemoHistory[Date],$A110))</f>
        <v>46195</v>
      </c>
      <c r="C110" s="166">
        <f>IF(OR($A110&gt;MIN($A$10,$A$2),$A$5=""),"",INDEX(DemoHistory[],$A110,MATCH($A$5,DemoHistory[#Headers],0)))</f>
        <v>532.09900000000005</v>
      </c>
      <c r="D110" s="166">
        <f>IF($A110&gt;MIN($A$10,$A$2),"",IF(AND($A$12,$A$6=1,B110&lt;$A$7,$A$7&lt;=MAX(DemoHistory[Date])),$A$8,1))</f>
        <v>1</v>
      </c>
      <c r="E110" s="166">
        <f t="shared" si="3"/>
        <v>532.09900000000005</v>
      </c>
      <c r="F110" s="166">
        <f>IF($A110&gt;MIN($A$10,$A$2),"",IF($A110&lt;50,"n.a.",IF(COUNT(INDEX(StockDaily[Adjusted close],MAX(1,$A110-50+1)):E110)=50,AVERAGE(INDEX(StockDaily[Adjusted close],MAX(1,$A110-50+1)):E110),"n.a.")))</f>
        <v>514.05035200000009</v>
      </c>
      <c r="G110" s="166" t="str">
        <f>IF($A110&gt;MIN($A$10,$A$2),"",IF($A110&lt;200,"n.a.",IF(COUNT(INDEX(StockDaily[Adjusted close],MAX(1,$A110-200+1)):E110)=200,AVERAGE(INDEX(StockDaily[Adjusted close],MAX(1,$A110-200+1)):E110),"n.a.")))</f>
        <v>n.a.</v>
      </c>
      <c r="H110" s="136" t="str">
        <f>IF($A110&gt;MIN($A$10,$A$2),"",IF($A$5="","Choose stock",IF(NOT($A$12),"Check split rule",IF(NOT(ISNUMBER(B110)),"Invalid date",IF(OR(B110&lt;=0,B110&lt;&gt;INT(B110)),"Invalid date",IF(COUNTIFS(DemoHistory[Date],B110)&lt;&gt;1,"Duplicate date",IF(AND($A110&gt;1,B110&lt;=B109),"Dates out of order",IF(NOT(ISNUMBER(C110)),"Missing price",IF(C110&lt;=0,"Nonpositive price","OK")))))))))</f>
        <v>OK</v>
      </c>
      <c r="I110" s="136"/>
      <c r="J110" s="136"/>
      <c r="K110" s="136"/>
      <c r="L110" s="136"/>
      <c r="M110" s="136"/>
      <c r="N110" s="136">
        <f t="shared" si="4"/>
        <v>532.09900000000005</v>
      </c>
      <c r="O110" s="136">
        <f t="shared" si="5"/>
        <v>514.05035200000009</v>
      </c>
    </row>
    <row r="111" spans="1:15" ht="22.05" customHeight="1" x14ac:dyDescent="0.3">
      <c r="A111" s="136">
        <v>67</v>
      </c>
      <c r="B111" s="165">
        <f>IF($A111&gt;MIN($A$10,$A$2),"",INDEX(DemoHistory[Date],$A111))</f>
        <v>46196</v>
      </c>
      <c r="C111" s="166">
        <f>IF(OR($A111&gt;MIN($A$10,$A$2),$A$5=""),"",INDEX(DemoHistory[],$A111,MATCH($A$5,DemoHistory[#Headers],0)))</f>
        <v>536.77200000000005</v>
      </c>
      <c r="D111" s="166">
        <f>IF($A111&gt;MIN($A$10,$A$2),"",IF(AND($A$12,$A$6=1,B111&lt;$A$7,$A$7&lt;=MAX(DemoHistory[Date])),$A$8,1))</f>
        <v>1</v>
      </c>
      <c r="E111" s="166">
        <f t="shared" si="3"/>
        <v>536.77200000000005</v>
      </c>
      <c r="F111" s="166">
        <f>IF($A111&gt;MIN($A$10,$A$2),"",IF($A111&lt;50,"n.a.",IF(COUNT(INDEX(StockDaily[Adjusted close],MAX(1,$A111-50+1)):E111)=50,AVERAGE(INDEX(StockDaily[Adjusted close],MAX(1,$A111-50+1)):E111),"n.a.")))</f>
        <v>514.14881000000014</v>
      </c>
      <c r="G111" s="166" t="str">
        <f>IF($A111&gt;MIN($A$10,$A$2),"",IF($A111&lt;200,"n.a.",IF(COUNT(INDEX(StockDaily[Adjusted close],MAX(1,$A111-200+1)):E111)=200,AVERAGE(INDEX(StockDaily[Adjusted close],MAX(1,$A111-200+1)):E111),"n.a.")))</f>
        <v>n.a.</v>
      </c>
      <c r="H111" s="136" t="str">
        <f>IF($A111&gt;MIN($A$10,$A$2),"",IF($A$5="","Choose stock",IF(NOT($A$12),"Check split rule",IF(NOT(ISNUMBER(B111)),"Invalid date",IF(OR(B111&lt;=0,B111&lt;&gt;INT(B111)),"Invalid date",IF(COUNTIFS(DemoHistory[Date],B111)&lt;&gt;1,"Duplicate date",IF(AND($A111&gt;1,B111&lt;=B110),"Dates out of order",IF(NOT(ISNUMBER(C111)),"Missing price",IF(C111&lt;=0,"Nonpositive price","OK")))))))))</f>
        <v>OK</v>
      </c>
      <c r="I111" s="136"/>
      <c r="J111" s="136"/>
      <c r="K111" s="136"/>
      <c r="L111" s="136"/>
      <c r="M111" s="136"/>
      <c r="N111" s="136">
        <f t="shared" si="4"/>
        <v>536.77200000000005</v>
      </c>
      <c r="O111" s="136">
        <f t="shared" si="5"/>
        <v>514.14881000000014</v>
      </c>
    </row>
    <row r="112" spans="1:15" ht="22.05" customHeight="1" x14ac:dyDescent="0.3">
      <c r="A112" s="136">
        <v>68</v>
      </c>
      <c r="B112" s="165">
        <f>IF($A112&gt;MIN($A$10,$A$2),"",INDEX(DemoHistory[Date],$A112))</f>
        <v>46197</v>
      </c>
      <c r="C112" s="166">
        <f>IF(OR($A112&gt;MIN($A$10,$A$2),$A$5=""),"",INDEX(DemoHistory[],$A112,MATCH($A$5,DemoHistory[#Headers],0)))</f>
        <v>540.55619999999999</v>
      </c>
      <c r="D112" s="166">
        <f>IF($A112&gt;MIN($A$10,$A$2),"",IF(AND($A$12,$A$6=1,B112&lt;$A$7,$A$7&lt;=MAX(DemoHistory[Date])),$A$8,1))</f>
        <v>1</v>
      </c>
      <c r="E112" s="166">
        <f t="shared" si="3"/>
        <v>540.55619999999999</v>
      </c>
      <c r="F112" s="166">
        <f>IF($A112&gt;MIN($A$10,$A$2),"",IF($A112&lt;50,"n.a.",IF(COUNT(INDEX(StockDaily[Adjusted close],MAX(1,$A112-50+1)):E112)=50,AVERAGE(INDEX(StockDaily[Adjusted close],MAX(1,$A112-50+1)):E112),"n.a.")))</f>
        <v>514.38673200000005</v>
      </c>
      <c r="G112" s="166" t="str">
        <f>IF($A112&gt;MIN($A$10,$A$2),"",IF($A112&lt;200,"n.a.",IF(COUNT(INDEX(StockDaily[Adjusted close],MAX(1,$A112-200+1)):E112)=200,AVERAGE(INDEX(StockDaily[Adjusted close],MAX(1,$A112-200+1)):E112),"n.a.")))</f>
        <v>n.a.</v>
      </c>
      <c r="H112" s="136" t="str">
        <f>IF($A112&gt;MIN($A$10,$A$2),"",IF($A$5="","Choose stock",IF(NOT($A$12),"Check split rule",IF(NOT(ISNUMBER(B112)),"Invalid date",IF(OR(B112&lt;=0,B112&lt;&gt;INT(B112)),"Invalid date",IF(COUNTIFS(DemoHistory[Date],B112)&lt;&gt;1,"Duplicate date",IF(AND($A112&gt;1,B112&lt;=B111),"Dates out of order",IF(NOT(ISNUMBER(C112)),"Missing price",IF(C112&lt;=0,"Nonpositive price","OK")))))))))</f>
        <v>OK</v>
      </c>
      <c r="I112" s="136"/>
      <c r="J112" s="136"/>
      <c r="K112" s="136"/>
      <c r="L112" s="136"/>
      <c r="M112" s="136"/>
      <c r="N112" s="136">
        <f t="shared" si="4"/>
        <v>540.55619999999999</v>
      </c>
      <c r="O112" s="136">
        <f t="shared" si="5"/>
        <v>514.38673200000005</v>
      </c>
    </row>
    <row r="113" spans="1:15" ht="22.05" customHeight="1" x14ac:dyDescent="0.3">
      <c r="A113" s="136">
        <v>69</v>
      </c>
      <c r="B113" s="165">
        <f>IF($A113&gt;MIN($A$10,$A$2),"",INDEX(DemoHistory[Date],$A113))</f>
        <v>46198</v>
      </c>
      <c r="C113" s="166">
        <f>IF(OR($A113&gt;MIN($A$10,$A$2),$A$5=""),"",INDEX(DemoHistory[],$A113,MATCH($A$5,DemoHistory[#Headers],0)))</f>
        <v>540.26480000000004</v>
      </c>
      <c r="D113" s="166">
        <f>IF($A113&gt;MIN($A$10,$A$2),"",IF(AND($A$12,$A$6=1,B113&lt;$A$7,$A$7&lt;=MAX(DemoHistory[Date])),$A$8,1))</f>
        <v>1</v>
      </c>
      <c r="E113" s="166">
        <f t="shared" si="3"/>
        <v>540.26480000000004</v>
      </c>
      <c r="F113" s="166">
        <f>IF($A113&gt;MIN($A$10,$A$2),"",IF($A113&lt;50,"n.a.",IF(COUNT(INDEX(StockDaily[Adjusted close],MAX(1,$A113-50+1)):E113)=50,AVERAGE(INDEX(StockDaily[Adjusted close],MAX(1,$A113-50+1)):E113),"n.a.")))</f>
        <v>514.61659400000008</v>
      </c>
      <c r="G113" s="166" t="str">
        <f>IF($A113&gt;MIN($A$10,$A$2),"",IF($A113&lt;200,"n.a.",IF(COUNT(INDEX(StockDaily[Adjusted close],MAX(1,$A113-200+1)):E113)=200,AVERAGE(INDEX(StockDaily[Adjusted close],MAX(1,$A113-200+1)):E113),"n.a.")))</f>
        <v>n.a.</v>
      </c>
      <c r="H113" s="136" t="str">
        <f>IF($A113&gt;MIN($A$10,$A$2),"",IF($A$5="","Choose stock",IF(NOT($A$12),"Check split rule",IF(NOT(ISNUMBER(B113)),"Invalid date",IF(OR(B113&lt;=0,B113&lt;&gt;INT(B113)),"Invalid date",IF(COUNTIFS(DemoHistory[Date],B113)&lt;&gt;1,"Duplicate date",IF(AND($A113&gt;1,B113&lt;=B112),"Dates out of order",IF(NOT(ISNUMBER(C113)),"Missing price",IF(C113&lt;=0,"Nonpositive price","OK")))))))))</f>
        <v>OK</v>
      </c>
      <c r="I113" s="136"/>
      <c r="J113" s="136"/>
      <c r="K113" s="136"/>
      <c r="L113" s="136"/>
      <c r="M113" s="136"/>
      <c r="N113" s="136">
        <f t="shared" si="4"/>
        <v>540.26480000000004</v>
      </c>
      <c r="O113" s="136">
        <f t="shared" si="5"/>
        <v>514.61659400000008</v>
      </c>
    </row>
    <row r="114" spans="1:15" ht="22.05" customHeight="1" x14ac:dyDescent="0.3">
      <c r="A114" s="136">
        <v>70</v>
      </c>
      <c r="B114" s="165">
        <f>IF($A114&gt;MIN($A$10,$A$2),"",INDEX(DemoHistory[Date],$A114))</f>
        <v>46199</v>
      </c>
      <c r="C114" s="166">
        <f>IF(OR($A114&gt;MIN($A$10,$A$2),$A$5=""),"",INDEX(DemoHistory[],$A114,MATCH($A$5,DemoHistory[#Headers],0)))</f>
        <v>548.02260000000001</v>
      </c>
      <c r="D114" s="166">
        <f>IF($A114&gt;MIN($A$10,$A$2),"",IF(AND($A$12,$A$6=1,B114&lt;$A$7,$A$7&lt;=MAX(DemoHistory[Date])),$A$8,1))</f>
        <v>1</v>
      </c>
      <c r="E114" s="166">
        <f t="shared" si="3"/>
        <v>548.02260000000001</v>
      </c>
      <c r="F114" s="166">
        <f>IF($A114&gt;MIN($A$10,$A$2),"",IF($A114&lt;50,"n.a.",IF(COUNT(INDEX(StockDaily[Adjusted close],MAX(1,$A114-50+1)):E114)=50,AVERAGE(INDEX(StockDaily[Adjusted close],MAX(1,$A114-50+1)):E114),"n.a.")))</f>
        <v>515.01601200000005</v>
      </c>
      <c r="G114" s="166" t="str">
        <f>IF($A114&gt;MIN($A$10,$A$2),"",IF($A114&lt;200,"n.a.",IF(COUNT(INDEX(StockDaily[Adjusted close],MAX(1,$A114-200+1)):E114)=200,AVERAGE(INDEX(StockDaily[Adjusted close],MAX(1,$A114-200+1)):E114),"n.a.")))</f>
        <v>n.a.</v>
      </c>
      <c r="H114" s="136" t="str">
        <f>IF($A114&gt;MIN($A$10,$A$2),"",IF($A$5="","Choose stock",IF(NOT($A$12),"Check split rule",IF(NOT(ISNUMBER(B114)),"Invalid date",IF(OR(B114&lt;=0,B114&lt;&gt;INT(B114)),"Invalid date",IF(COUNTIFS(DemoHistory[Date],B114)&lt;&gt;1,"Duplicate date",IF(AND($A114&gt;1,B114&lt;=B113),"Dates out of order",IF(NOT(ISNUMBER(C114)),"Missing price",IF(C114&lt;=0,"Nonpositive price","OK")))))))))</f>
        <v>OK</v>
      </c>
      <c r="I114" s="136"/>
      <c r="J114" s="136"/>
      <c r="K114" s="136"/>
      <c r="L114" s="136"/>
      <c r="M114" s="136"/>
      <c r="N114" s="136">
        <f t="shared" si="4"/>
        <v>548.02260000000001</v>
      </c>
      <c r="O114" s="136">
        <f t="shared" si="5"/>
        <v>515.01601200000005</v>
      </c>
    </row>
    <row r="115" spans="1:15" ht="22.05" customHeight="1" x14ac:dyDescent="0.3">
      <c r="A115" s="136">
        <v>71</v>
      </c>
      <c r="B115" s="165">
        <f>IF($A115&gt;MIN($A$10,$A$2),"",INDEX(DemoHistory[Date],$A115))</f>
        <v>46202</v>
      </c>
      <c r="C115" s="166">
        <f>IF(OR($A115&gt;MIN($A$10,$A$2),$A$5=""),"",INDEX(DemoHistory[],$A115,MATCH($A$5,DemoHistory[#Headers],0)))</f>
        <v>552.14070000000004</v>
      </c>
      <c r="D115" s="166">
        <f>IF($A115&gt;MIN($A$10,$A$2),"",IF(AND($A$12,$A$6=1,B115&lt;$A$7,$A$7&lt;=MAX(DemoHistory[Date])),$A$8,1))</f>
        <v>1</v>
      </c>
      <c r="E115" s="166">
        <f t="shared" si="3"/>
        <v>552.14070000000004</v>
      </c>
      <c r="F115" s="166">
        <f>IF($A115&gt;MIN($A$10,$A$2),"",IF($A115&lt;50,"n.a.",IF(COUNT(INDEX(StockDaily[Adjusted close],MAX(1,$A115-50+1)):E115)=50,AVERAGE(INDEX(StockDaily[Adjusted close],MAX(1,$A115-50+1)):E115),"n.a.")))</f>
        <v>515.56092400000011</v>
      </c>
      <c r="G115" s="166" t="str">
        <f>IF($A115&gt;MIN($A$10,$A$2),"",IF($A115&lt;200,"n.a.",IF(COUNT(INDEX(StockDaily[Adjusted close],MAX(1,$A115-200+1)):E115)=200,AVERAGE(INDEX(StockDaily[Adjusted close],MAX(1,$A115-200+1)):E115),"n.a.")))</f>
        <v>n.a.</v>
      </c>
      <c r="H115" s="136" t="str">
        <f>IF($A115&gt;MIN($A$10,$A$2),"",IF($A$5="","Choose stock",IF(NOT($A$12),"Check split rule",IF(NOT(ISNUMBER(B115)),"Invalid date",IF(OR(B115&lt;=0,B115&lt;&gt;INT(B115)),"Invalid date",IF(COUNTIFS(DemoHistory[Date],B115)&lt;&gt;1,"Duplicate date",IF(AND($A115&gt;1,B115&lt;=B114),"Dates out of order",IF(NOT(ISNUMBER(C115)),"Missing price",IF(C115&lt;=0,"Nonpositive price","OK")))))))))</f>
        <v>OK</v>
      </c>
      <c r="I115" s="136"/>
      <c r="J115" s="136"/>
      <c r="K115" s="136"/>
      <c r="L115" s="136"/>
      <c r="M115" s="136"/>
      <c r="N115" s="136">
        <f t="shared" si="4"/>
        <v>552.14070000000004</v>
      </c>
      <c r="O115" s="136">
        <f t="shared" si="5"/>
        <v>515.56092400000011</v>
      </c>
    </row>
    <row r="116" spans="1:15" ht="22.05" customHeight="1" x14ac:dyDescent="0.3">
      <c r="A116" s="136">
        <v>72</v>
      </c>
      <c r="B116" s="165">
        <f>IF($A116&gt;MIN($A$10,$A$2),"",INDEX(DemoHistory[Date],$A116))</f>
        <v>46203</v>
      </c>
      <c r="C116" s="166">
        <f>IF(OR($A116&gt;MIN($A$10,$A$2),$A$5=""),"",INDEX(DemoHistory[],$A116,MATCH($A$5,DemoHistory[#Headers],0)))</f>
        <v>553.20069999999998</v>
      </c>
      <c r="D116" s="166">
        <f>IF($A116&gt;MIN($A$10,$A$2),"",IF(AND($A$12,$A$6=1,B116&lt;$A$7,$A$7&lt;=MAX(DemoHistory[Date])),$A$8,1))</f>
        <v>1</v>
      </c>
      <c r="E116" s="166">
        <f t="shared" si="3"/>
        <v>553.20069999999998</v>
      </c>
      <c r="F116" s="166">
        <f>IF($A116&gt;MIN($A$10,$A$2),"",IF($A116&lt;50,"n.a.",IF(COUNT(INDEX(StockDaily[Adjusted close],MAX(1,$A116-50+1)):E116)=50,AVERAGE(INDEX(StockDaily[Adjusted close],MAX(1,$A116-50+1)):E116),"n.a.")))</f>
        <v>516.16747600000008</v>
      </c>
      <c r="G116" s="166" t="str">
        <f>IF($A116&gt;MIN($A$10,$A$2),"",IF($A116&lt;200,"n.a.",IF(COUNT(INDEX(StockDaily[Adjusted close],MAX(1,$A116-200+1)):E116)=200,AVERAGE(INDEX(StockDaily[Adjusted close],MAX(1,$A116-200+1)):E116),"n.a.")))</f>
        <v>n.a.</v>
      </c>
      <c r="H116" s="136" t="str">
        <f>IF($A116&gt;MIN($A$10,$A$2),"",IF($A$5="","Choose stock",IF(NOT($A$12),"Check split rule",IF(NOT(ISNUMBER(B116)),"Invalid date",IF(OR(B116&lt;=0,B116&lt;&gt;INT(B116)),"Invalid date",IF(COUNTIFS(DemoHistory[Date],B116)&lt;&gt;1,"Duplicate date",IF(AND($A116&gt;1,B116&lt;=B115),"Dates out of order",IF(NOT(ISNUMBER(C116)),"Missing price",IF(C116&lt;=0,"Nonpositive price","OK")))))))))</f>
        <v>OK</v>
      </c>
      <c r="I116" s="136"/>
      <c r="J116" s="136"/>
      <c r="K116" s="136"/>
      <c r="L116" s="136"/>
      <c r="M116" s="136"/>
      <c r="N116" s="136">
        <f t="shared" si="4"/>
        <v>553.20069999999998</v>
      </c>
      <c r="O116" s="136">
        <f t="shared" si="5"/>
        <v>516.16747600000008</v>
      </c>
    </row>
    <row r="117" spans="1:15" ht="22.05" customHeight="1" x14ac:dyDescent="0.3">
      <c r="A117" s="136">
        <v>73</v>
      </c>
      <c r="B117" s="165">
        <f>IF($A117&gt;MIN($A$10,$A$2),"",INDEX(DemoHistory[Date],$A117))</f>
        <v>46204</v>
      </c>
      <c r="C117" s="166">
        <f>IF(OR($A117&gt;MIN($A$10,$A$2),$A$5=""),"",INDEX(DemoHistory[],$A117,MATCH($A$5,DemoHistory[#Headers],0)))</f>
        <v>557.44799999999998</v>
      </c>
      <c r="D117" s="166">
        <f>IF($A117&gt;MIN($A$10,$A$2),"",IF(AND($A$12,$A$6=1,B117&lt;$A$7,$A$7&lt;=MAX(DemoHistory[Date])),$A$8,1))</f>
        <v>1</v>
      </c>
      <c r="E117" s="166">
        <f t="shared" si="3"/>
        <v>557.44799999999998</v>
      </c>
      <c r="F117" s="166">
        <f>IF($A117&gt;MIN($A$10,$A$2),"",IF($A117&lt;50,"n.a.",IF(COUNT(INDEX(StockDaily[Adjusted close],MAX(1,$A117-50+1)):E117)=50,AVERAGE(INDEX(StockDaily[Adjusted close],MAX(1,$A117-50+1)):E117),"n.a.")))</f>
        <v>516.85162200000002</v>
      </c>
      <c r="G117" s="166" t="str">
        <f>IF($A117&gt;MIN($A$10,$A$2),"",IF($A117&lt;200,"n.a.",IF(COUNT(INDEX(StockDaily[Adjusted close],MAX(1,$A117-200+1)):E117)=200,AVERAGE(INDEX(StockDaily[Adjusted close],MAX(1,$A117-200+1)):E117),"n.a.")))</f>
        <v>n.a.</v>
      </c>
      <c r="H117" s="136" t="str">
        <f>IF($A117&gt;MIN($A$10,$A$2),"",IF($A$5="","Choose stock",IF(NOT($A$12),"Check split rule",IF(NOT(ISNUMBER(B117)),"Invalid date",IF(OR(B117&lt;=0,B117&lt;&gt;INT(B117)),"Invalid date",IF(COUNTIFS(DemoHistory[Date],B117)&lt;&gt;1,"Duplicate date",IF(AND($A117&gt;1,B117&lt;=B116),"Dates out of order",IF(NOT(ISNUMBER(C117)),"Missing price",IF(C117&lt;=0,"Nonpositive price","OK")))))))))</f>
        <v>OK</v>
      </c>
      <c r="I117" s="136"/>
      <c r="J117" s="136"/>
      <c r="K117" s="136"/>
      <c r="L117" s="136"/>
      <c r="M117" s="136"/>
      <c r="N117" s="136">
        <f t="shared" si="4"/>
        <v>557.44799999999998</v>
      </c>
      <c r="O117" s="136">
        <f t="shared" si="5"/>
        <v>516.85162200000002</v>
      </c>
    </row>
    <row r="118" spans="1:15" ht="22.05" customHeight="1" x14ac:dyDescent="0.3">
      <c r="A118" s="136">
        <v>74</v>
      </c>
      <c r="B118" s="165">
        <f>IF($A118&gt;MIN($A$10,$A$2),"",INDEX(DemoHistory[Date],$A118))</f>
        <v>46205</v>
      </c>
      <c r="C118" s="166">
        <f>IF(OR($A118&gt;MIN($A$10,$A$2),$A$5=""),"",INDEX(DemoHistory[],$A118,MATCH($A$5,DemoHistory[#Headers],0)))</f>
        <v>544.41</v>
      </c>
      <c r="D118" s="166">
        <f>IF($A118&gt;MIN($A$10,$A$2),"",IF(AND($A$12,$A$6=1,B118&lt;$A$7,$A$7&lt;=MAX(DemoHistory[Date])),$A$8,1))</f>
        <v>1</v>
      </c>
      <c r="E118" s="166">
        <f t="shared" si="3"/>
        <v>544.41</v>
      </c>
      <c r="F118" s="166">
        <f>IF($A118&gt;MIN($A$10,$A$2),"",IF($A118&lt;50,"n.a.",IF(COUNT(INDEX(StockDaily[Adjusted close],MAX(1,$A118-50+1)):E118)=50,AVERAGE(INDEX(StockDaily[Adjusted close],MAX(1,$A118-50+1)):E118),"n.a.")))</f>
        <v>517.33205399999997</v>
      </c>
      <c r="G118" s="166" t="str">
        <f>IF($A118&gt;MIN($A$10,$A$2),"",IF($A118&lt;200,"n.a.",IF(COUNT(INDEX(StockDaily[Adjusted close],MAX(1,$A118-200+1)):E118)=200,AVERAGE(INDEX(StockDaily[Adjusted close],MAX(1,$A118-200+1)):E118),"n.a.")))</f>
        <v>n.a.</v>
      </c>
      <c r="H118" s="136" t="str">
        <f>IF($A118&gt;MIN($A$10,$A$2),"",IF($A$5="","Choose stock",IF(NOT($A$12),"Check split rule",IF(NOT(ISNUMBER(B118)),"Invalid date",IF(OR(B118&lt;=0,B118&lt;&gt;INT(B118)),"Invalid date",IF(COUNTIFS(DemoHistory[Date],B118)&lt;&gt;1,"Duplicate date",IF(AND($A118&gt;1,B118&lt;=B117),"Dates out of order",IF(NOT(ISNUMBER(C118)),"Missing price",IF(C118&lt;=0,"Nonpositive price","OK")))))))))</f>
        <v>OK</v>
      </c>
      <c r="I118" s="136"/>
      <c r="J118" s="136"/>
      <c r="K118" s="136"/>
      <c r="L118" s="136"/>
      <c r="M118" s="136"/>
      <c r="N118" s="136">
        <f t="shared" si="4"/>
        <v>544.41</v>
      </c>
      <c r="O118" s="136">
        <f t="shared" si="5"/>
        <v>517.33205399999997</v>
      </c>
    </row>
    <row r="119" spans="1:15" ht="22.05" customHeight="1" x14ac:dyDescent="0.3">
      <c r="A119" s="136">
        <v>75</v>
      </c>
      <c r="B119" s="165">
        <f>IF($A119&gt;MIN($A$10,$A$2),"",INDEX(DemoHistory[Date],$A119))</f>
        <v>46206</v>
      </c>
      <c r="C119" s="166">
        <f>IF(OR($A119&gt;MIN($A$10,$A$2),$A$5=""),"",INDEX(DemoHistory[],$A119,MATCH($A$5,DemoHistory[#Headers],0)))</f>
        <v>548.6721</v>
      </c>
      <c r="D119" s="166">
        <f>IF($A119&gt;MIN($A$10,$A$2),"",IF(AND($A$12,$A$6=1,B119&lt;$A$7,$A$7&lt;=MAX(DemoHistory[Date])),$A$8,1))</f>
        <v>1</v>
      </c>
      <c r="E119" s="166">
        <f t="shared" si="3"/>
        <v>548.6721</v>
      </c>
      <c r="F119" s="166">
        <f>IF($A119&gt;MIN($A$10,$A$2),"",IF($A119&lt;50,"n.a.",IF(COUNT(INDEX(StockDaily[Adjusted close],MAX(1,$A119-50+1)):E119)=50,AVERAGE(INDEX(StockDaily[Adjusted close],MAX(1,$A119-50+1)):E119),"n.a.")))</f>
        <v>517.88138000000004</v>
      </c>
      <c r="G119" s="166" t="str">
        <f>IF($A119&gt;MIN($A$10,$A$2),"",IF($A119&lt;200,"n.a.",IF(COUNT(INDEX(StockDaily[Adjusted close],MAX(1,$A119-200+1)):E119)=200,AVERAGE(INDEX(StockDaily[Adjusted close],MAX(1,$A119-200+1)):E119),"n.a.")))</f>
        <v>n.a.</v>
      </c>
      <c r="H119" s="136" t="str">
        <f>IF($A119&gt;MIN($A$10,$A$2),"",IF($A$5="","Choose stock",IF(NOT($A$12),"Check split rule",IF(NOT(ISNUMBER(B119)),"Invalid date",IF(OR(B119&lt;=0,B119&lt;&gt;INT(B119)),"Invalid date",IF(COUNTIFS(DemoHistory[Date],B119)&lt;&gt;1,"Duplicate date",IF(AND($A119&gt;1,B119&lt;=B118),"Dates out of order",IF(NOT(ISNUMBER(C119)),"Missing price",IF(C119&lt;=0,"Nonpositive price","OK")))))))))</f>
        <v>OK</v>
      </c>
      <c r="I119" s="136"/>
      <c r="J119" s="136"/>
      <c r="K119" s="136"/>
      <c r="L119" s="136"/>
      <c r="M119" s="136"/>
      <c r="N119" s="136">
        <f t="shared" si="4"/>
        <v>548.6721</v>
      </c>
      <c r="O119" s="136">
        <f t="shared" si="5"/>
        <v>517.88138000000004</v>
      </c>
    </row>
    <row r="120" spans="1:15" ht="22.05" customHeight="1" x14ac:dyDescent="0.3">
      <c r="A120" s="136">
        <v>76</v>
      </c>
      <c r="B120" s="165">
        <f>IF($A120&gt;MIN($A$10,$A$2),"",INDEX(DemoHistory[Date],$A120))</f>
        <v>46209</v>
      </c>
      <c r="C120" s="166">
        <f>IF(OR($A120&gt;MIN($A$10,$A$2),$A$5=""),"",INDEX(DemoHistory[],$A120,MATCH($A$5,DemoHistory[#Headers],0)))</f>
        <v>546.41060000000004</v>
      </c>
      <c r="D120" s="166">
        <f>IF($A120&gt;MIN($A$10,$A$2),"",IF(AND($A$12,$A$6=1,B120&lt;$A$7,$A$7&lt;=MAX(DemoHistory[Date])),$A$8,1))</f>
        <v>1</v>
      </c>
      <c r="E120" s="166">
        <f t="shared" si="3"/>
        <v>546.41060000000004</v>
      </c>
      <c r="F120" s="166">
        <f>IF($A120&gt;MIN($A$10,$A$2),"",IF($A120&lt;50,"n.a.",IF(COUNT(INDEX(StockDaily[Adjusted close],MAX(1,$A120-50+1)):E120)=50,AVERAGE(INDEX(StockDaily[Adjusted close],MAX(1,$A120-50+1)):E120),"n.a.")))</f>
        <v>518.50439800000004</v>
      </c>
      <c r="G120" s="166" t="str">
        <f>IF($A120&gt;MIN($A$10,$A$2),"",IF($A120&lt;200,"n.a.",IF(COUNT(INDEX(StockDaily[Adjusted close],MAX(1,$A120-200+1)):E120)=200,AVERAGE(INDEX(StockDaily[Adjusted close],MAX(1,$A120-200+1)):E120),"n.a.")))</f>
        <v>n.a.</v>
      </c>
      <c r="H120" s="136" t="str">
        <f>IF($A120&gt;MIN($A$10,$A$2),"",IF($A$5="","Choose stock",IF(NOT($A$12),"Check split rule",IF(NOT(ISNUMBER(B120)),"Invalid date",IF(OR(B120&lt;=0,B120&lt;&gt;INT(B120)),"Invalid date",IF(COUNTIFS(DemoHistory[Date],B120)&lt;&gt;1,"Duplicate date",IF(AND($A120&gt;1,B120&lt;=B119),"Dates out of order",IF(NOT(ISNUMBER(C120)),"Missing price",IF(C120&lt;=0,"Nonpositive price","OK")))))))))</f>
        <v>OK</v>
      </c>
      <c r="I120" s="136"/>
      <c r="J120" s="136"/>
      <c r="K120" s="136"/>
      <c r="L120" s="136"/>
      <c r="M120" s="136"/>
      <c r="N120" s="136">
        <f t="shared" si="4"/>
        <v>546.41060000000004</v>
      </c>
      <c r="O120" s="136">
        <f t="shared" si="5"/>
        <v>518.50439800000004</v>
      </c>
    </row>
    <row r="121" spans="1:15" ht="22.05" customHeight="1" x14ac:dyDescent="0.3">
      <c r="A121" s="136">
        <v>77</v>
      </c>
      <c r="B121" s="165">
        <f>IF($A121&gt;MIN($A$10,$A$2),"",INDEX(DemoHistory[Date],$A121))</f>
        <v>46210</v>
      </c>
      <c r="C121" s="166">
        <f>IF(OR($A121&gt;MIN($A$10,$A$2),$A$5=""),"",INDEX(DemoHistory[],$A121,MATCH($A$5,DemoHistory[#Headers],0)))</f>
        <v>549.56830000000002</v>
      </c>
      <c r="D121" s="166">
        <f>IF($A121&gt;MIN($A$10,$A$2),"",IF(AND($A$12,$A$6=1,B121&lt;$A$7,$A$7&lt;=MAX(DemoHistory[Date])),$A$8,1))</f>
        <v>1</v>
      </c>
      <c r="E121" s="166">
        <f t="shared" si="3"/>
        <v>549.56830000000002</v>
      </c>
      <c r="F121" s="166">
        <f>IF($A121&gt;MIN($A$10,$A$2),"",IF($A121&lt;50,"n.a.",IF(COUNT(INDEX(StockDaily[Adjusted close],MAX(1,$A121-50+1)):E121)=50,AVERAGE(INDEX(StockDaily[Adjusted close],MAX(1,$A121-50+1)):E121),"n.a.")))</f>
        <v>519.10307599999999</v>
      </c>
      <c r="G121" s="166" t="str">
        <f>IF($A121&gt;MIN($A$10,$A$2),"",IF($A121&lt;200,"n.a.",IF(COUNT(INDEX(StockDaily[Adjusted close],MAX(1,$A121-200+1)):E121)=200,AVERAGE(INDEX(StockDaily[Adjusted close],MAX(1,$A121-200+1)):E121),"n.a.")))</f>
        <v>n.a.</v>
      </c>
      <c r="H121" s="136" t="str">
        <f>IF($A121&gt;MIN($A$10,$A$2),"",IF($A$5="","Choose stock",IF(NOT($A$12),"Check split rule",IF(NOT(ISNUMBER(B121)),"Invalid date",IF(OR(B121&lt;=0,B121&lt;&gt;INT(B121)),"Invalid date",IF(COUNTIFS(DemoHistory[Date],B121)&lt;&gt;1,"Duplicate date",IF(AND($A121&gt;1,B121&lt;=B120),"Dates out of order",IF(NOT(ISNUMBER(C121)),"Missing price",IF(C121&lt;=0,"Nonpositive price","OK")))))))))</f>
        <v>OK</v>
      </c>
      <c r="I121" s="136"/>
      <c r="J121" s="136"/>
      <c r="K121" s="136"/>
      <c r="L121" s="136"/>
      <c r="M121" s="136"/>
      <c r="N121" s="136">
        <f t="shared" si="4"/>
        <v>549.56830000000002</v>
      </c>
      <c r="O121" s="136">
        <f t="shared" si="5"/>
        <v>519.10307599999999</v>
      </c>
    </row>
    <row r="122" spans="1:15" ht="22.05" customHeight="1" x14ac:dyDescent="0.3">
      <c r="A122" s="136">
        <v>78</v>
      </c>
      <c r="B122" s="165">
        <f>IF($A122&gt;MIN($A$10,$A$2),"",INDEX(DemoHistory[Date],$A122))</f>
        <v>46211</v>
      </c>
      <c r="C122" s="166">
        <f>IF(OR($A122&gt;MIN($A$10,$A$2),$A$5=""),"",INDEX(DemoHistory[],$A122,MATCH($A$5,DemoHistory[#Headers],0)))</f>
        <v>557.16729999999995</v>
      </c>
      <c r="D122" s="166">
        <f>IF($A122&gt;MIN($A$10,$A$2),"",IF(AND($A$12,$A$6=1,B122&lt;$A$7,$A$7&lt;=MAX(DemoHistory[Date])),$A$8,1))</f>
        <v>1</v>
      </c>
      <c r="E122" s="166">
        <f t="shared" si="3"/>
        <v>557.16729999999995</v>
      </c>
      <c r="F122" s="166">
        <f>IF($A122&gt;MIN($A$10,$A$2),"",IF($A122&lt;50,"n.a.",IF(COUNT(INDEX(StockDaily[Adjusted close],MAX(1,$A122-50+1)):E122)=50,AVERAGE(INDEX(StockDaily[Adjusted close],MAX(1,$A122-50+1)):E122),"n.a.")))</f>
        <v>519.87572</v>
      </c>
      <c r="G122" s="166" t="str">
        <f>IF($A122&gt;MIN($A$10,$A$2),"",IF($A122&lt;200,"n.a.",IF(COUNT(INDEX(StockDaily[Adjusted close],MAX(1,$A122-200+1)):E122)=200,AVERAGE(INDEX(StockDaily[Adjusted close],MAX(1,$A122-200+1)):E122),"n.a.")))</f>
        <v>n.a.</v>
      </c>
      <c r="H122" s="136" t="str">
        <f>IF($A122&gt;MIN($A$10,$A$2),"",IF($A$5="","Choose stock",IF(NOT($A$12),"Check split rule",IF(NOT(ISNUMBER(B122)),"Invalid date",IF(OR(B122&lt;=0,B122&lt;&gt;INT(B122)),"Invalid date",IF(COUNTIFS(DemoHistory[Date],B122)&lt;&gt;1,"Duplicate date",IF(AND($A122&gt;1,B122&lt;=B121),"Dates out of order",IF(NOT(ISNUMBER(C122)),"Missing price",IF(C122&lt;=0,"Nonpositive price","OK")))))))))</f>
        <v>OK</v>
      </c>
      <c r="I122" s="136"/>
      <c r="J122" s="136"/>
      <c r="K122" s="136"/>
      <c r="L122" s="136"/>
      <c r="M122" s="136"/>
      <c r="N122" s="136">
        <f t="shared" si="4"/>
        <v>557.16729999999995</v>
      </c>
      <c r="O122" s="136">
        <f t="shared" si="5"/>
        <v>519.87572</v>
      </c>
    </row>
    <row r="123" spans="1:15" ht="22.05" customHeight="1" x14ac:dyDescent="0.3">
      <c r="A123" s="136">
        <v>79</v>
      </c>
      <c r="B123" s="165">
        <f>IF($A123&gt;MIN($A$10,$A$2),"",INDEX(DemoHistory[Date],$A123))</f>
        <v>46212</v>
      </c>
      <c r="C123" s="166">
        <f>IF(OR($A123&gt;MIN($A$10,$A$2),$A$5=""),"",INDEX(DemoHistory[],$A123,MATCH($A$5,DemoHistory[#Headers],0)))</f>
        <v>560.99289999999996</v>
      </c>
      <c r="D123" s="166">
        <f>IF($A123&gt;MIN($A$10,$A$2),"",IF(AND($A$12,$A$6=1,B123&lt;$A$7,$A$7&lt;=MAX(DemoHistory[Date])),$A$8,1))</f>
        <v>1</v>
      </c>
      <c r="E123" s="166">
        <f t="shared" si="3"/>
        <v>560.99289999999996</v>
      </c>
      <c r="F123" s="166">
        <f>IF($A123&gt;MIN($A$10,$A$2),"",IF($A123&lt;50,"n.a.",IF(COUNT(INDEX(StockDaily[Adjusted close],MAX(1,$A123-50+1)):E123)=50,AVERAGE(INDEX(StockDaily[Adjusted close],MAX(1,$A123-50+1)):E123),"n.a.")))</f>
        <v>520.67212200000006</v>
      </c>
      <c r="G123" s="166" t="str">
        <f>IF($A123&gt;MIN($A$10,$A$2),"",IF($A123&lt;200,"n.a.",IF(COUNT(INDEX(StockDaily[Adjusted close],MAX(1,$A123-200+1)):E123)=200,AVERAGE(INDEX(StockDaily[Adjusted close],MAX(1,$A123-200+1)):E123),"n.a.")))</f>
        <v>n.a.</v>
      </c>
      <c r="H123" s="136" t="str">
        <f>IF($A123&gt;MIN($A$10,$A$2),"",IF($A$5="","Choose stock",IF(NOT($A$12),"Check split rule",IF(NOT(ISNUMBER(B123)),"Invalid date",IF(OR(B123&lt;=0,B123&lt;&gt;INT(B123)),"Invalid date",IF(COUNTIFS(DemoHistory[Date],B123)&lt;&gt;1,"Duplicate date",IF(AND($A123&gt;1,B123&lt;=B122),"Dates out of order",IF(NOT(ISNUMBER(C123)),"Missing price",IF(C123&lt;=0,"Nonpositive price","OK")))))))))</f>
        <v>OK</v>
      </c>
      <c r="I123" s="136"/>
      <c r="J123" s="136"/>
      <c r="K123" s="136"/>
      <c r="L123" s="136"/>
      <c r="M123" s="136"/>
      <c r="N123" s="136">
        <f t="shared" si="4"/>
        <v>560.99289999999996</v>
      </c>
      <c r="O123" s="136">
        <f t="shared" si="5"/>
        <v>520.67212200000006</v>
      </c>
    </row>
    <row r="124" spans="1:15" ht="22.05" customHeight="1" x14ac:dyDescent="0.3">
      <c r="A124" s="136">
        <v>80</v>
      </c>
      <c r="B124" s="165">
        <f>IF($A124&gt;MIN($A$10,$A$2),"",INDEX(DemoHistory[Date],$A124))</f>
        <v>46213</v>
      </c>
      <c r="C124" s="166">
        <f>IF(OR($A124&gt;MIN($A$10,$A$2),$A$5=""),"",INDEX(DemoHistory[],$A124,MATCH($A$5,DemoHistory[#Headers],0)))</f>
        <v>562.62850000000003</v>
      </c>
      <c r="D124" s="166">
        <f>IF($A124&gt;MIN($A$10,$A$2),"",IF(AND($A$12,$A$6=1,B124&lt;$A$7,$A$7&lt;=MAX(DemoHistory[Date])),$A$8,1))</f>
        <v>1</v>
      </c>
      <c r="E124" s="166">
        <f t="shared" si="3"/>
        <v>562.62850000000003</v>
      </c>
      <c r="F124" s="166">
        <f>IF($A124&gt;MIN($A$10,$A$2),"",IF($A124&lt;50,"n.a.",IF(COUNT(INDEX(StockDaily[Adjusted close],MAX(1,$A124-50+1)):E124)=50,AVERAGE(INDEX(StockDaily[Adjusted close],MAX(1,$A124-50+1)):E124),"n.a.")))</f>
        <v>521.551286</v>
      </c>
      <c r="G124" s="166" t="str">
        <f>IF($A124&gt;MIN($A$10,$A$2),"",IF($A124&lt;200,"n.a.",IF(COUNT(INDEX(StockDaily[Adjusted close],MAX(1,$A124-200+1)):E124)=200,AVERAGE(INDEX(StockDaily[Adjusted close],MAX(1,$A124-200+1)):E124),"n.a.")))</f>
        <v>n.a.</v>
      </c>
      <c r="H124" s="136" t="str">
        <f>IF($A124&gt;MIN($A$10,$A$2),"",IF($A$5="","Choose stock",IF(NOT($A$12),"Check split rule",IF(NOT(ISNUMBER(B124)),"Invalid date",IF(OR(B124&lt;=0,B124&lt;&gt;INT(B124)),"Invalid date",IF(COUNTIFS(DemoHistory[Date],B124)&lt;&gt;1,"Duplicate date",IF(AND($A124&gt;1,B124&lt;=B123),"Dates out of order",IF(NOT(ISNUMBER(C124)),"Missing price",IF(C124&lt;=0,"Nonpositive price","OK")))))))))</f>
        <v>OK</v>
      </c>
      <c r="I124" s="136"/>
      <c r="J124" s="136"/>
      <c r="K124" s="136"/>
      <c r="L124" s="136"/>
      <c r="M124" s="136"/>
      <c r="N124" s="136">
        <f t="shared" si="4"/>
        <v>562.62850000000003</v>
      </c>
      <c r="O124" s="136">
        <f t="shared" si="5"/>
        <v>521.551286</v>
      </c>
    </row>
    <row r="125" spans="1:15" ht="22.05" customHeight="1" x14ac:dyDescent="0.3">
      <c r="A125" s="136">
        <v>81</v>
      </c>
      <c r="B125" s="165">
        <f>IF($A125&gt;MIN($A$10,$A$2),"",INDEX(DemoHistory[Date],$A125))</f>
        <v>46216</v>
      </c>
      <c r="C125" s="166">
        <f>IF(OR($A125&gt;MIN($A$10,$A$2),$A$5=""),"",INDEX(DemoHistory[],$A125,MATCH($A$5,DemoHistory[#Headers],0)))</f>
        <v>561.23379999999997</v>
      </c>
      <c r="D125" s="166">
        <f>IF($A125&gt;MIN($A$10,$A$2),"",IF(AND($A$12,$A$6=1,B125&lt;$A$7,$A$7&lt;=MAX(DemoHistory[Date])),$A$8,1))</f>
        <v>1</v>
      </c>
      <c r="E125" s="166">
        <f t="shared" si="3"/>
        <v>561.23379999999997</v>
      </c>
      <c r="F125" s="166">
        <f>IF($A125&gt;MIN($A$10,$A$2),"",IF($A125&lt;50,"n.a.",IF(COUNT(INDEX(StockDaily[Adjusted close],MAX(1,$A125-50+1)):E125)=50,AVERAGE(INDEX(StockDaily[Adjusted close],MAX(1,$A125-50+1)):E125),"n.a.")))</f>
        <v>522.43528399999991</v>
      </c>
      <c r="G125" s="166" t="str">
        <f>IF($A125&gt;MIN($A$10,$A$2),"",IF($A125&lt;200,"n.a.",IF(COUNT(INDEX(StockDaily[Adjusted close],MAX(1,$A125-200+1)):E125)=200,AVERAGE(INDEX(StockDaily[Adjusted close],MAX(1,$A125-200+1)):E125),"n.a.")))</f>
        <v>n.a.</v>
      </c>
      <c r="H125" s="136" t="str">
        <f>IF($A125&gt;MIN($A$10,$A$2),"",IF($A$5="","Choose stock",IF(NOT($A$12),"Check split rule",IF(NOT(ISNUMBER(B125)),"Invalid date",IF(OR(B125&lt;=0,B125&lt;&gt;INT(B125)),"Invalid date",IF(COUNTIFS(DemoHistory[Date],B125)&lt;&gt;1,"Duplicate date",IF(AND($A125&gt;1,B125&lt;=B124),"Dates out of order",IF(NOT(ISNUMBER(C125)),"Missing price",IF(C125&lt;=0,"Nonpositive price","OK")))))))))</f>
        <v>OK</v>
      </c>
      <c r="I125" s="136"/>
      <c r="J125" s="136"/>
      <c r="K125" s="136"/>
      <c r="L125" s="136"/>
      <c r="M125" s="136"/>
      <c r="N125" s="136">
        <f t="shared" si="4"/>
        <v>561.23379999999997</v>
      </c>
      <c r="O125" s="136">
        <f t="shared" si="5"/>
        <v>522.43528399999991</v>
      </c>
    </row>
    <row r="126" spans="1:15" ht="22.05" customHeight="1" x14ac:dyDescent="0.3">
      <c r="A126" s="136">
        <v>82</v>
      </c>
      <c r="B126" s="165">
        <f>IF($A126&gt;MIN($A$10,$A$2),"",INDEX(DemoHistory[Date],$A126))</f>
        <v>46217</v>
      </c>
      <c r="C126" s="166">
        <f>IF(OR($A126&gt;MIN($A$10,$A$2),$A$5=""),"",INDEX(DemoHistory[],$A126,MATCH($A$5,DemoHistory[#Headers],0)))</f>
        <v>565.78589999999997</v>
      </c>
      <c r="D126" s="166">
        <f>IF($A126&gt;MIN($A$10,$A$2),"",IF(AND($A$12,$A$6=1,B126&lt;$A$7,$A$7&lt;=MAX(DemoHistory[Date])),$A$8,1))</f>
        <v>1</v>
      </c>
      <c r="E126" s="166">
        <f t="shared" si="3"/>
        <v>565.78589999999997</v>
      </c>
      <c r="F126" s="166">
        <f>IF($A126&gt;MIN($A$10,$A$2),"",IF($A126&lt;50,"n.a.",IF(COUNT(INDEX(StockDaily[Adjusted close],MAX(1,$A126-50+1)):E126)=50,AVERAGE(INDEX(StockDaily[Adjusted close],MAX(1,$A126-50+1)):E126),"n.a.")))</f>
        <v>523.46112000000005</v>
      </c>
      <c r="G126" s="166" t="str">
        <f>IF($A126&gt;MIN($A$10,$A$2),"",IF($A126&lt;200,"n.a.",IF(COUNT(INDEX(StockDaily[Adjusted close],MAX(1,$A126-200+1)):E126)=200,AVERAGE(INDEX(StockDaily[Adjusted close],MAX(1,$A126-200+1)):E126),"n.a.")))</f>
        <v>n.a.</v>
      </c>
      <c r="H126" s="136" t="str">
        <f>IF($A126&gt;MIN($A$10,$A$2),"",IF($A$5="","Choose stock",IF(NOT($A$12),"Check split rule",IF(NOT(ISNUMBER(B126)),"Invalid date",IF(OR(B126&lt;=0,B126&lt;&gt;INT(B126)),"Invalid date",IF(COUNTIFS(DemoHistory[Date],B126)&lt;&gt;1,"Duplicate date",IF(AND($A126&gt;1,B126&lt;=B125),"Dates out of order",IF(NOT(ISNUMBER(C126)),"Missing price",IF(C126&lt;=0,"Nonpositive price","OK")))))))))</f>
        <v>OK</v>
      </c>
      <c r="I126" s="136"/>
      <c r="J126" s="136"/>
      <c r="K126" s="136"/>
      <c r="L126" s="136"/>
      <c r="M126" s="136"/>
      <c r="N126" s="136">
        <f t="shared" si="4"/>
        <v>565.78589999999997</v>
      </c>
      <c r="O126" s="136">
        <f t="shared" si="5"/>
        <v>523.46112000000005</v>
      </c>
    </row>
    <row r="127" spans="1:15" ht="22.05" customHeight="1" x14ac:dyDescent="0.3">
      <c r="A127" s="136">
        <v>83</v>
      </c>
      <c r="B127" s="165">
        <f>IF($A127&gt;MIN($A$10,$A$2),"",INDEX(DemoHistory[Date],$A127))</f>
        <v>46218</v>
      </c>
      <c r="C127" s="166">
        <f>IF(OR($A127&gt;MIN($A$10,$A$2),$A$5=""),"",INDEX(DemoHistory[],$A127,MATCH($A$5,DemoHistory[#Headers],0)))</f>
        <v>569.85739999999998</v>
      </c>
      <c r="D127" s="166">
        <f>IF($A127&gt;MIN($A$10,$A$2),"",IF(AND($A$12,$A$6=1,B127&lt;$A$7,$A$7&lt;=MAX(DemoHistory[Date])),$A$8,1))</f>
        <v>1</v>
      </c>
      <c r="E127" s="166">
        <f t="shared" si="3"/>
        <v>569.85739999999998</v>
      </c>
      <c r="F127" s="166">
        <f>IF($A127&gt;MIN($A$10,$A$2),"",IF($A127&lt;50,"n.a.",IF(COUNT(INDEX(StockDaily[Adjusted close],MAX(1,$A127-50+1)):E127)=50,AVERAGE(INDEX(StockDaily[Adjusted close],MAX(1,$A127-50+1)):E127),"n.a.")))</f>
        <v>524.52706000000001</v>
      </c>
      <c r="G127" s="166" t="str">
        <f>IF($A127&gt;MIN($A$10,$A$2),"",IF($A127&lt;200,"n.a.",IF(COUNT(INDEX(StockDaily[Adjusted close],MAX(1,$A127-200+1)):E127)=200,AVERAGE(INDEX(StockDaily[Adjusted close],MAX(1,$A127-200+1)):E127),"n.a.")))</f>
        <v>n.a.</v>
      </c>
      <c r="H127" s="136" t="str">
        <f>IF($A127&gt;MIN($A$10,$A$2),"",IF($A$5="","Choose stock",IF(NOT($A$12),"Check split rule",IF(NOT(ISNUMBER(B127)),"Invalid date",IF(OR(B127&lt;=0,B127&lt;&gt;INT(B127)),"Invalid date",IF(COUNTIFS(DemoHistory[Date],B127)&lt;&gt;1,"Duplicate date",IF(AND($A127&gt;1,B127&lt;=B126),"Dates out of order",IF(NOT(ISNUMBER(C127)),"Missing price",IF(C127&lt;=0,"Nonpositive price","OK")))))))))</f>
        <v>OK</v>
      </c>
      <c r="I127" s="136"/>
      <c r="J127" s="136"/>
      <c r="K127" s="136"/>
      <c r="L127" s="136"/>
      <c r="M127" s="136"/>
      <c r="N127" s="136">
        <f t="shared" si="4"/>
        <v>569.85739999999998</v>
      </c>
      <c r="O127" s="136">
        <f t="shared" si="5"/>
        <v>524.52706000000001</v>
      </c>
    </row>
    <row r="128" spans="1:15" ht="22.05" customHeight="1" x14ac:dyDescent="0.3">
      <c r="A128" s="136">
        <v>84</v>
      </c>
      <c r="B128" s="165">
        <f>IF($A128&gt;MIN($A$10,$A$2),"",INDEX(DemoHistory[Date],$A128))</f>
        <v>46219</v>
      </c>
      <c r="C128" s="166">
        <f>IF(OR($A128&gt;MIN($A$10,$A$2),$A$5=""),"",INDEX(DemoHistory[],$A128,MATCH($A$5,DemoHistory[#Headers],0)))</f>
        <v>568.24940000000004</v>
      </c>
      <c r="D128" s="166">
        <f>IF($A128&gt;MIN($A$10,$A$2),"",IF(AND($A$12,$A$6=1,B128&lt;$A$7,$A$7&lt;=MAX(DemoHistory[Date])),$A$8,1))</f>
        <v>1</v>
      </c>
      <c r="E128" s="166">
        <f t="shared" si="3"/>
        <v>568.24940000000004</v>
      </c>
      <c r="F128" s="166">
        <f>IF($A128&gt;MIN($A$10,$A$2),"",IF($A128&lt;50,"n.a.",IF(COUNT(INDEX(StockDaily[Adjusted close],MAX(1,$A128-50+1)):E128)=50,AVERAGE(INDEX(StockDaily[Adjusted close],MAX(1,$A128-50+1)):E128),"n.a.")))</f>
        <v>525.73043799999994</v>
      </c>
      <c r="G128" s="166" t="str">
        <f>IF($A128&gt;MIN($A$10,$A$2),"",IF($A128&lt;200,"n.a.",IF(COUNT(INDEX(StockDaily[Adjusted close],MAX(1,$A128-200+1)):E128)=200,AVERAGE(INDEX(StockDaily[Adjusted close],MAX(1,$A128-200+1)):E128),"n.a.")))</f>
        <v>n.a.</v>
      </c>
      <c r="H128" s="136" t="str">
        <f>IF($A128&gt;MIN($A$10,$A$2),"",IF($A$5="","Choose stock",IF(NOT($A$12),"Check split rule",IF(NOT(ISNUMBER(B128)),"Invalid date",IF(OR(B128&lt;=0,B128&lt;&gt;INT(B128)),"Invalid date",IF(COUNTIFS(DemoHistory[Date],B128)&lt;&gt;1,"Duplicate date",IF(AND($A128&gt;1,B128&lt;=B127),"Dates out of order",IF(NOT(ISNUMBER(C128)),"Missing price",IF(C128&lt;=0,"Nonpositive price","OK")))))))))</f>
        <v>OK</v>
      </c>
      <c r="I128" s="136"/>
      <c r="J128" s="136"/>
      <c r="K128" s="136"/>
      <c r="L128" s="136"/>
      <c r="M128" s="136"/>
      <c r="N128" s="136">
        <f t="shared" si="4"/>
        <v>568.24940000000004</v>
      </c>
      <c r="O128" s="136">
        <f t="shared" si="5"/>
        <v>525.73043799999994</v>
      </c>
    </row>
    <row r="129" spans="1:15" ht="22.05" customHeight="1" x14ac:dyDescent="0.3">
      <c r="A129" s="136">
        <v>85</v>
      </c>
      <c r="B129" s="165">
        <f>IF($A129&gt;MIN($A$10,$A$2),"",INDEX(DemoHistory[Date],$A129))</f>
        <v>46220</v>
      </c>
      <c r="C129" s="166">
        <f>IF(OR($A129&gt;MIN($A$10,$A$2),$A$5=""),"",INDEX(DemoHistory[],$A129,MATCH($A$5,DemoHistory[#Headers],0)))</f>
        <v>567.14279999999997</v>
      </c>
      <c r="D129" s="166">
        <f>IF($A129&gt;MIN($A$10,$A$2),"",IF(AND($A$12,$A$6=1,B129&lt;$A$7,$A$7&lt;=MAX(DemoHistory[Date])),$A$8,1))</f>
        <v>1</v>
      </c>
      <c r="E129" s="166">
        <f t="shared" si="3"/>
        <v>567.14279999999997</v>
      </c>
      <c r="F129" s="166">
        <f>IF($A129&gt;MIN($A$10,$A$2),"",IF($A129&lt;50,"n.a.",IF(COUNT(INDEX(StockDaily[Adjusted close],MAX(1,$A129-50+1)):E129)=50,AVERAGE(INDEX(StockDaily[Adjusted close],MAX(1,$A129-50+1)):E129),"n.a.")))</f>
        <v>526.90755200000012</v>
      </c>
      <c r="G129" s="166" t="str">
        <f>IF($A129&gt;MIN($A$10,$A$2),"",IF($A129&lt;200,"n.a.",IF(COUNT(INDEX(StockDaily[Adjusted close],MAX(1,$A129-200+1)):E129)=200,AVERAGE(INDEX(StockDaily[Adjusted close],MAX(1,$A129-200+1)):E129),"n.a.")))</f>
        <v>n.a.</v>
      </c>
      <c r="H129" s="136" t="str">
        <f>IF($A129&gt;MIN($A$10,$A$2),"",IF($A$5="","Choose stock",IF(NOT($A$12),"Check split rule",IF(NOT(ISNUMBER(B129)),"Invalid date",IF(OR(B129&lt;=0,B129&lt;&gt;INT(B129)),"Invalid date",IF(COUNTIFS(DemoHistory[Date],B129)&lt;&gt;1,"Duplicate date",IF(AND($A129&gt;1,B129&lt;=B128),"Dates out of order",IF(NOT(ISNUMBER(C129)),"Missing price",IF(C129&lt;=0,"Nonpositive price","OK")))))))))</f>
        <v>OK</v>
      </c>
      <c r="I129" s="136"/>
      <c r="J129" s="136"/>
      <c r="K129" s="136"/>
      <c r="L129" s="136"/>
      <c r="M129" s="136"/>
      <c r="N129" s="136">
        <f t="shared" si="4"/>
        <v>567.14279999999997</v>
      </c>
      <c r="O129" s="136">
        <f t="shared" si="5"/>
        <v>526.90755200000012</v>
      </c>
    </row>
    <row r="130" spans="1:15" ht="22.05" customHeight="1" x14ac:dyDescent="0.3">
      <c r="A130" s="136">
        <v>86</v>
      </c>
      <c r="B130" s="165">
        <f>IF($A130&gt;MIN($A$10,$A$2),"",INDEX(DemoHistory[Date],$A130))</f>
        <v>46223</v>
      </c>
      <c r="C130" s="166">
        <f>IF(OR($A130&gt;MIN($A$10,$A$2),$A$5=""),"",INDEX(DemoHistory[],$A130,MATCH($A$5,DemoHistory[#Headers],0)))</f>
        <v>571.41039999999998</v>
      </c>
      <c r="D130" s="166">
        <f>IF($A130&gt;MIN($A$10,$A$2),"",IF(AND($A$12,$A$6=1,B130&lt;$A$7,$A$7&lt;=MAX(DemoHistory[Date])),$A$8,1))</f>
        <v>1</v>
      </c>
      <c r="E130" s="166">
        <f t="shared" si="3"/>
        <v>571.41039999999998</v>
      </c>
      <c r="F130" s="166">
        <f>IF($A130&gt;MIN($A$10,$A$2),"",IF($A130&lt;50,"n.a.",IF(COUNT(INDEX(StockDaily[Adjusted close],MAX(1,$A130-50+1)):E130)=50,AVERAGE(INDEX(StockDaily[Adjusted close],MAX(1,$A130-50+1)):E130),"n.a.")))</f>
        <v>528.29708400000015</v>
      </c>
      <c r="G130" s="166" t="str">
        <f>IF($A130&gt;MIN($A$10,$A$2),"",IF($A130&lt;200,"n.a.",IF(COUNT(INDEX(StockDaily[Adjusted close],MAX(1,$A130-200+1)):E130)=200,AVERAGE(INDEX(StockDaily[Adjusted close],MAX(1,$A130-200+1)):E130),"n.a.")))</f>
        <v>n.a.</v>
      </c>
      <c r="H130" s="136" t="str">
        <f>IF($A130&gt;MIN($A$10,$A$2),"",IF($A$5="","Choose stock",IF(NOT($A$12),"Check split rule",IF(NOT(ISNUMBER(B130)),"Invalid date",IF(OR(B130&lt;=0,B130&lt;&gt;INT(B130)),"Invalid date",IF(COUNTIFS(DemoHistory[Date],B130)&lt;&gt;1,"Duplicate date",IF(AND($A130&gt;1,B130&lt;=B129),"Dates out of order",IF(NOT(ISNUMBER(C130)),"Missing price",IF(C130&lt;=0,"Nonpositive price","OK")))))))))</f>
        <v>OK</v>
      </c>
      <c r="I130" s="136"/>
      <c r="J130" s="136"/>
      <c r="K130" s="136"/>
      <c r="L130" s="136"/>
      <c r="M130" s="136"/>
      <c r="N130" s="136">
        <f t="shared" si="4"/>
        <v>571.41039999999998</v>
      </c>
      <c r="O130" s="136">
        <f t="shared" si="5"/>
        <v>528.29708400000015</v>
      </c>
    </row>
    <row r="131" spans="1:15" ht="22.05" customHeight="1" x14ac:dyDescent="0.3">
      <c r="A131" s="136">
        <v>87</v>
      </c>
      <c r="B131" s="165">
        <f>IF($A131&gt;MIN($A$10,$A$2),"",INDEX(DemoHistory[Date],$A131))</f>
        <v>46224</v>
      </c>
      <c r="C131" s="166">
        <f>IF(OR($A131&gt;MIN($A$10,$A$2),$A$5=""),"",INDEX(DemoHistory[],$A131,MATCH($A$5,DemoHistory[#Headers],0)))</f>
        <v>564.03250000000003</v>
      </c>
      <c r="D131" s="166">
        <f>IF($A131&gt;MIN($A$10,$A$2),"",IF(AND($A$12,$A$6=1,B131&lt;$A$7,$A$7&lt;=MAX(DemoHistory[Date])),$A$8,1))</f>
        <v>1</v>
      </c>
      <c r="E131" s="166">
        <f t="shared" si="3"/>
        <v>564.03250000000003</v>
      </c>
      <c r="F131" s="166">
        <f>IF($A131&gt;MIN($A$10,$A$2),"",IF($A131&lt;50,"n.a.",IF(COUNT(INDEX(StockDaily[Adjusted close],MAX(1,$A131-50+1)):E131)=50,AVERAGE(INDEX(StockDaily[Adjusted close],MAX(1,$A131-50+1)):E131),"n.a.")))</f>
        <v>529.52145600000006</v>
      </c>
      <c r="G131" s="166" t="str">
        <f>IF($A131&gt;MIN($A$10,$A$2),"",IF($A131&lt;200,"n.a.",IF(COUNT(INDEX(StockDaily[Adjusted close],MAX(1,$A131-200+1)):E131)=200,AVERAGE(INDEX(StockDaily[Adjusted close],MAX(1,$A131-200+1)):E131),"n.a.")))</f>
        <v>n.a.</v>
      </c>
      <c r="H131" s="136" t="str">
        <f>IF($A131&gt;MIN($A$10,$A$2),"",IF($A$5="","Choose stock",IF(NOT($A$12),"Check split rule",IF(NOT(ISNUMBER(B131)),"Invalid date",IF(OR(B131&lt;=0,B131&lt;&gt;INT(B131)),"Invalid date",IF(COUNTIFS(DemoHistory[Date],B131)&lt;&gt;1,"Duplicate date",IF(AND($A131&gt;1,B131&lt;=B130),"Dates out of order",IF(NOT(ISNUMBER(C131)),"Missing price",IF(C131&lt;=0,"Nonpositive price","OK")))))))))</f>
        <v>OK</v>
      </c>
      <c r="I131" s="136"/>
      <c r="J131" s="136"/>
      <c r="K131" s="136"/>
      <c r="L131" s="136"/>
      <c r="M131" s="136"/>
      <c r="N131" s="136">
        <f t="shared" si="4"/>
        <v>564.03250000000003</v>
      </c>
      <c r="O131" s="136">
        <f t="shared" si="5"/>
        <v>529.52145600000006</v>
      </c>
    </row>
    <row r="132" spans="1:15" ht="22.05" customHeight="1" x14ac:dyDescent="0.3">
      <c r="A132" s="136">
        <v>88</v>
      </c>
      <c r="B132" s="165">
        <f>IF($A132&gt;MIN($A$10,$A$2),"",INDEX(DemoHistory[Date],$A132))</f>
        <v>46225</v>
      </c>
      <c r="C132" s="166">
        <f>IF(OR($A132&gt;MIN($A$10,$A$2),$A$5=""),"",INDEX(DemoHistory[],$A132,MATCH($A$5,DemoHistory[#Headers],0)))</f>
        <v>564.77859999999998</v>
      </c>
      <c r="D132" s="166">
        <f>IF($A132&gt;MIN($A$10,$A$2),"",IF(AND($A$12,$A$6=1,B132&lt;$A$7,$A$7&lt;=MAX(DemoHistory[Date])),$A$8,1))</f>
        <v>1</v>
      </c>
      <c r="E132" s="166">
        <f t="shared" si="3"/>
        <v>564.77859999999998</v>
      </c>
      <c r="F132" s="166">
        <f>IF($A132&gt;MIN($A$10,$A$2),"",IF($A132&lt;50,"n.a.",IF(COUNT(INDEX(StockDaily[Adjusted close],MAX(1,$A132-50+1)):E132)=50,AVERAGE(INDEX(StockDaily[Adjusted close],MAX(1,$A132-50+1)):E132),"n.a.")))</f>
        <v>530.72333600000013</v>
      </c>
      <c r="G132" s="166" t="str">
        <f>IF($A132&gt;MIN($A$10,$A$2),"",IF($A132&lt;200,"n.a.",IF(COUNT(INDEX(StockDaily[Adjusted close],MAX(1,$A132-200+1)):E132)=200,AVERAGE(INDEX(StockDaily[Adjusted close],MAX(1,$A132-200+1)):E132),"n.a.")))</f>
        <v>n.a.</v>
      </c>
      <c r="H132" s="136" t="str">
        <f>IF($A132&gt;MIN($A$10,$A$2),"",IF($A$5="","Choose stock",IF(NOT($A$12),"Check split rule",IF(NOT(ISNUMBER(B132)),"Invalid date",IF(OR(B132&lt;=0,B132&lt;&gt;INT(B132)),"Invalid date",IF(COUNTIFS(DemoHistory[Date],B132)&lt;&gt;1,"Duplicate date",IF(AND($A132&gt;1,B132&lt;=B131),"Dates out of order",IF(NOT(ISNUMBER(C132)),"Missing price",IF(C132&lt;=0,"Nonpositive price","OK")))))))))</f>
        <v>OK</v>
      </c>
      <c r="I132" s="136"/>
      <c r="J132" s="136"/>
      <c r="K132" s="136"/>
      <c r="L132" s="136"/>
      <c r="M132" s="136"/>
      <c r="N132" s="136">
        <f t="shared" si="4"/>
        <v>564.77859999999998</v>
      </c>
      <c r="O132" s="136">
        <f t="shared" si="5"/>
        <v>530.72333600000013</v>
      </c>
    </row>
    <row r="133" spans="1:15" ht="22.05" customHeight="1" x14ac:dyDescent="0.3">
      <c r="A133" s="136">
        <v>89</v>
      </c>
      <c r="B133" s="165">
        <f>IF($A133&gt;MIN($A$10,$A$2),"",INDEX(DemoHistory[Date],$A133))</f>
        <v>46226</v>
      </c>
      <c r="C133" s="166">
        <f>IF(OR($A133&gt;MIN($A$10,$A$2),$A$5=""),"",INDEX(DemoHistory[],$A133,MATCH($A$5,DemoHistory[#Headers],0)))</f>
        <v>560.5222</v>
      </c>
      <c r="D133" s="166">
        <f>IF($A133&gt;MIN($A$10,$A$2),"",IF(AND($A$12,$A$6=1,B133&lt;$A$7,$A$7&lt;=MAX(DemoHistory[Date])),$A$8,1))</f>
        <v>1</v>
      </c>
      <c r="E133" s="166">
        <f t="shared" si="3"/>
        <v>560.5222</v>
      </c>
      <c r="F133" s="166">
        <f>IF($A133&gt;MIN($A$10,$A$2),"",IF($A133&lt;50,"n.a.",IF(COUNT(INDEX(StockDaily[Adjusted close],MAX(1,$A133-50+1)):E133)=50,AVERAGE(INDEX(StockDaily[Adjusted close],MAX(1,$A133-50+1)):E133),"n.a.")))</f>
        <v>531.97882600000014</v>
      </c>
      <c r="G133" s="166" t="str">
        <f>IF($A133&gt;MIN($A$10,$A$2),"",IF($A133&lt;200,"n.a.",IF(COUNT(INDEX(StockDaily[Adjusted close],MAX(1,$A133-200+1)):E133)=200,AVERAGE(INDEX(StockDaily[Adjusted close],MAX(1,$A133-200+1)):E133),"n.a.")))</f>
        <v>n.a.</v>
      </c>
      <c r="H133" s="136" t="str">
        <f>IF($A133&gt;MIN($A$10,$A$2),"",IF($A$5="","Choose stock",IF(NOT($A$12),"Check split rule",IF(NOT(ISNUMBER(B133)),"Invalid date",IF(OR(B133&lt;=0,B133&lt;&gt;INT(B133)),"Invalid date",IF(COUNTIFS(DemoHistory[Date],B133)&lt;&gt;1,"Duplicate date",IF(AND($A133&gt;1,B133&lt;=B132),"Dates out of order",IF(NOT(ISNUMBER(C133)),"Missing price",IF(C133&lt;=0,"Nonpositive price","OK")))))))))</f>
        <v>OK</v>
      </c>
      <c r="I133" s="136"/>
      <c r="J133" s="136"/>
      <c r="K133" s="136"/>
      <c r="L133" s="136"/>
      <c r="M133" s="136"/>
      <c r="N133" s="136">
        <f t="shared" si="4"/>
        <v>560.5222</v>
      </c>
      <c r="O133" s="136">
        <f t="shared" si="5"/>
        <v>531.97882600000014</v>
      </c>
    </row>
    <row r="134" spans="1:15" ht="22.05" customHeight="1" x14ac:dyDescent="0.3">
      <c r="A134" s="136">
        <v>90</v>
      </c>
      <c r="B134" s="165">
        <f>IF($A134&gt;MIN($A$10,$A$2),"",INDEX(DemoHistory[Date],$A134))</f>
        <v>46227</v>
      </c>
      <c r="C134" s="166">
        <f>IF(OR($A134&gt;MIN($A$10,$A$2),$A$5=""),"",INDEX(DemoHistory[],$A134,MATCH($A$5,DemoHistory[#Headers],0)))</f>
        <v>556.10670000000005</v>
      </c>
      <c r="D134" s="166">
        <f>IF($A134&gt;MIN($A$10,$A$2),"",IF(AND($A$12,$A$6=1,B134&lt;$A$7,$A$7&lt;=MAX(DemoHistory[Date])),$A$8,1))</f>
        <v>1</v>
      </c>
      <c r="E134" s="166">
        <f t="shared" si="3"/>
        <v>556.10670000000005</v>
      </c>
      <c r="F134" s="166">
        <f>IF($A134&gt;MIN($A$10,$A$2),"",IF($A134&lt;50,"n.a.",IF(COUNT(INDEX(StockDaily[Adjusted close],MAX(1,$A134-50+1)):E134)=50,AVERAGE(INDEX(StockDaily[Adjusted close],MAX(1,$A134-50+1)):E134),"n.a.")))</f>
        <v>533.12134000000015</v>
      </c>
      <c r="G134" s="166" t="str">
        <f>IF($A134&gt;MIN($A$10,$A$2),"",IF($A134&lt;200,"n.a.",IF(COUNT(INDEX(StockDaily[Adjusted close],MAX(1,$A134-200+1)):E134)=200,AVERAGE(INDEX(StockDaily[Adjusted close],MAX(1,$A134-200+1)):E134),"n.a.")))</f>
        <v>n.a.</v>
      </c>
      <c r="H134" s="136" t="str">
        <f>IF($A134&gt;MIN($A$10,$A$2),"",IF($A$5="","Choose stock",IF(NOT($A$12),"Check split rule",IF(NOT(ISNUMBER(B134)),"Invalid date",IF(OR(B134&lt;=0,B134&lt;&gt;INT(B134)),"Invalid date",IF(COUNTIFS(DemoHistory[Date],B134)&lt;&gt;1,"Duplicate date",IF(AND($A134&gt;1,B134&lt;=B133),"Dates out of order",IF(NOT(ISNUMBER(C134)),"Missing price",IF(C134&lt;=0,"Nonpositive price","OK")))))))))</f>
        <v>OK</v>
      </c>
      <c r="I134" s="136"/>
      <c r="J134" s="136"/>
      <c r="K134" s="136"/>
      <c r="L134" s="136"/>
      <c r="M134" s="136"/>
      <c r="N134" s="136">
        <f t="shared" si="4"/>
        <v>556.10670000000005</v>
      </c>
      <c r="O134" s="136">
        <f t="shared" si="5"/>
        <v>533.12134000000015</v>
      </c>
    </row>
    <row r="135" spans="1:15" ht="22.05" customHeight="1" x14ac:dyDescent="0.3">
      <c r="A135" s="136">
        <v>91</v>
      </c>
      <c r="B135" s="165">
        <f>IF($A135&gt;MIN($A$10,$A$2),"",INDEX(DemoHistory[Date],$A135))</f>
        <v>46230</v>
      </c>
      <c r="C135" s="166">
        <f>IF(OR($A135&gt;MIN($A$10,$A$2),$A$5=""),"",INDEX(DemoHistory[],$A135,MATCH($A$5,DemoHistory[#Headers],0)))</f>
        <v>561.59490000000005</v>
      </c>
      <c r="D135" s="166">
        <f>IF($A135&gt;MIN($A$10,$A$2),"",IF(AND($A$12,$A$6=1,B135&lt;$A$7,$A$7&lt;=MAX(DemoHistory[Date])),$A$8,1))</f>
        <v>1</v>
      </c>
      <c r="E135" s="166">
        <f t="shared" si="3"/>
        <v>561.59490000000005</v>
      </c>
      <c r="F135" s="166">
        <f>IF($A135&gt;MIN($A$10,$A$2),"",IF($A135&lt;50,"n.a.",IF(COUNT(INDEX(StockDaily[Adjusted close],MAX(1,$A135-50+1)):E135)=50,AVERAGE(INDEX(StockDaily[Adjusted close],MAX(1,$A135-50+1)):E135),"n.a.")))</f>
        <v>534.46813600000007</v>
      </c>
      <c r="G135" s="166" t="str">
        <f>IF($A135&gt;MIN($A$10,$A$2),"",IF($A135&lt;200,"n.a.",IF(COUNT(INDEX(StockDaily[Adjusted close],MAX(1,$A135-200+1)):E135)=200,AVERAGE(INDEX(StockDaily[Adjusted close],MAX(1,$A135-200+1)):E135),"n.a.")))</f>
        <v>n.a.</v>
      </c>
      <c r="H135" s="136" t="str">
        <f>IF($A135&gt;MIN($A$10,$A$2),"",IF($A$5="","Choose stock",IF(NOT($A$12),"Check split rule",IF(NOT(ISNUMBER(B135)),"Invalid date",IF(OR(B135&lt;=0,B135&lt;&gt;INT(B135)),"Invalid date",IF(COUNTIFS(DemoHistory[Date],B135)&lt;&gt;1,"Duplicate date",IF(AND($A135&gt;1,B135&lt;=B134),"Dates out of order",IF(NOT(ISNUMBER(C135)),"Missing price",IF(C135&lt;=0,"Nonpositive price","OK")))))))))</f>
        <v>OK</v>
      </c>
      <c r="I135" s="136"/>
      <c r="J135" s="136"/>
      <c r="K135" s="136"/>
      <c r="L135" s="136"/>
      <c r="M135" s="136"/>
      <c r="N135" s="136">
        <f t="shared" si="4"/>
        <v>561.59490000000005</v>
      </c>
      <c r="O135" s="136">
        <f t="shared" si="5"/>
        <v>534.46813600000007</v>
      </c>
    </row>
    <row r="136" spans="1:15" ht="22.05" customHeight="1" x14ac:dyDescent="0.3">
      <c r="A136" s="136">
        <v>92</v>
      </c>
      <c r="B136" s="165">
        <f>IF($A136&gt;MIN($A$10,$A$2),"",INDEX(DemoHistory[Date],$A136))</f>
        <v>46231</v>
      </c>
      <c r="C136" s="166">
        <f>IF(OR($A136&gt;MIN($A$10,$A$2),$A$5=""),"",INDEX(DemoHistory[],$A136,MATCH($A$5,DemoHistory[#Headers],0)))</f>
        <v>556.00930000000005</v>
      </c>
      <c r="D136" s="166">
        <f>IF($A136&gt;MIN($A$10,$A$2),"",IF(AND($A$12,$A$6=1,B136&lt;$A$7,$A$7&lt;=MAX(DemoHistory[Date])),$A$8,1))</f>
        <v>1</v>
      </c>
      <c r="E136" s="166">
        <f t="shared" si="3"/>
        <v>556.00930000000005</v>
      </c>
      <c r="F136" s="166">
        <f>IF($A136&gt;MIN($A$10,$A$2),"",IF($A136&lt;50,"n.a.",IF(COUNT(INDEX(StockDaily[Adjusted close],MAX(1,$A136-50+1)):E136)=50,AVERAGE(INDEX(StockDaily[Adjusted close],MAX(1,$A136-50+1)):E136),"n.a.")))</f>
        <v>535.6714800000002</v>
      </c>
      <c r="G136" s="166" t="str">
        <f>IF($A136&gt;MIN($A$10,$A$2),"",IF($A136&lt;200,"n.a.",IF(COUNT(INDEX(StockDaily[Adjusted close],MAX(1,$A136-200+1)):E136)=200,AVERAGE(INDEX(StockDaily[Adjusted close],MAX(1,$A136-200+1)):E136),"n.a.")))</f>
        <v>n.a.</v>
      </c>
      <c r="H136" s="136" t="str">
        <f>IF($A136&gt;MIN($A$10,$A$2),"",IF($A$5="","Choose stock",IF(NOT($A$12),"Check split rule",IF(NOT(ISNUMBER(B136)),"Invalid date",IF(OR(B136&lt;=0,B136&lt;&gt;INT(B136)),"Invalid date",IF(COUNTIFS(DemoHistory[Date],B136)&lt;&gt;1,"Duplicate date",IF(AND($A136&gt;1,B136&lt;=B135),"Dates out of order",IF(NOT(ISNUMBER(C136)),"Missing price",IF(C136&lt;=0,"Nonpositive price","OK")))))))))</f>
        <v>OK</v>
      </c>
      <c r="I136" s="136"/>
      <c r="J136" s="136"/>
      <c r="K136" s="136"/>
      <c r="L136" s="136"/>
      <c r="M136" s="136"/>
      <c r="N136" s="136">
        <f t="shared" si="4"/>
        <v>556.00930000000005</v>
      </c>
      <c r="O136" s="136">
        <f t="shared" si="5"/>
        <v>535.6714800000002</v>
      </c>
    </row>
    <row r="137" spans="1:15" ht="22.05" customHeight="1" x14ac:dyDescent="0.3">
      <c r="A137" s="136">
        <v>93</v>
      </c>
      <c r="B137" s="165">
        <f>IF($A137&gt;MIN($A$10,$A$2),"",INDEX(DemoHistory[Date],$A137))</f>
        <v>46232</v>
      </c>
      <c r="C137" s="166">
        <f>IF(OR($A137&gt;MIN($A$10,$A$2),$A$5=""),"",INDEX(DemoHistory[],$A137,MATCH($A$5,DemoHistory[#Headers],0)))</f>
        <v>560.43449999999996</v>
      </c>
      <c r="D137" s="166">
        <f>IF($A137&gt;MIN($A$10,$A$2),"",IF(AND($A$12,$A$6=1,B137&lt;$A$7,$A$7&lt;=MAX(DemoHistory[Date])),$A$8,1))</f>
        <v>1</v>
      </c>
      <c r="E137" s="166">
        <f t="shared" si="3"/>
        <v>560.43449999999996</v>
      </c>
      <c r="F137" s="166">
        <f>IF($A137&gt;MIN($A$10,$A$2),"",IF($A137&lt;50,"n.a.",IF(COUNT(INDEX(StockDaily[Adjusted close],MAX(1,$A137-50+1)):E137)=50,AVERAGE(INDEX(StockDaily[Adjusted close],MAX(1,$A137-50+1)):E137),"n.a.")))</f>
        <v>536.8651440000001</v>
      </c>
      <c r="G137" s="166" t="str">
        <f>IF($A137&gt;MIN($A$10,$A$2),"",IF($A137&lt;200,"n.a.",IF(COUNT(INDEX(StockDaily[Adjusted close],MAX(1,$A137-200+1)):E137)=200,AVERAGE(INDEX(StockDaily[Adjusted close],MAX(1,$A137-200+1)):E137),"n.a.")))</f>
        <v>n.a.</v>
      </c>
      <c r="H137" s="136" t="str">
        <f>IF($A137&gt;MIN($A$10,$A$2),"",IF($A$5="","Choose stock",IF(NOT($A$12),"Check split rule",IF(NOT(ISNUMBER(B137)),"Invalid date",IF(OR(B137&lt;=0,B137&lt;&gt;INT(B137)),"Invalid date",IF(COUNTIFS(DemoHistory[Date],B137)&lt;&gt;1,"Duplicate date",IF(AND($A137&gt;1,B137&lt;=B136),"Dates out of order",IF(NOT(ISNUMBER(C137)),"Missing price",IF(C137&lt;=0,"Nonpositive price","OK")))))))))</f>
        <v>OK</v>
      </c>
      <c r="I137" s="136"/>
      <c r="J137" s="136"/>
      <c r="K137" s="136"/>
      <c r="L137" s="136"/>
      <c r="M137" s="136"/>
      <c r="N137" s="136">
        <f t="shared" si="4"/>
        <v>560.43449999999996</v>
      </c>
      <c r="O137" s="136">
        <f t="shared" si="5"/>
        <v>536.8651440000001</v>
      </c>
    </row>
    <row r="138" spans="1:15" ht="22.05" customHeight="1" x14ac:dyDescent="0.3">
      <c r="A138" s="136">
        <v>94</v>
      </c>
      <c r="B138" s="165">
        <f>IF($A138&gt;MIN($A$10,$A$2),"",INDEX(DemoHistory[Date],$A138))</f>
        <v>46233</v>
      </c>
      <c r="C138" s="166">
        <f>IF(OR($A138&gt;MIN($A$10,$A$2),$A$5=""),"",INDEX(DemoHistory[],$A138,MATCH($A$5,DemoHistory[#Headers],0)))</f>
        <v>563.16240000000005</v>
      </c>
      <c r="D138" s="166">
        <f>IF($A138&gt;MIN($A$10,$A$2),"",IF(AND($A$12,$A$6=1,B138&lt;$A$7,$A$7&lt;=MAX(DemoHistory[Date])),$A$8,1))</f>
        <v>1</v>
      </c>
      <c r="E138" s="166">
        <f t="shared" si="3"/>
        <v>563.16240000000005</v>
      </c>
      <c r="F138" s="166">
        <f>IF($A138&gt;MIN($A$10,$A$2),"",IF($A138&lt;50,"n.a.",IF(COUNT(INDEX(StockDaily[Adjusted close],MAX(1,$A138-50+1)):E138)=50,AVERAGE(INDEX(StockDaily[Adjusted close],MAX(1,$A138-50+1)):E138),"n.a.")))</f>
        <v>538.19361000000015</v>
      </c>
      <c r="G138" s="166" t="str">
        <f>IF($A138&gt;MIN($A$10,$A$2),"",IF($A138&lt;200,"n.a.",IF(COUNT(INDEX(StockDaily[Adjusted close],MAX(1,$A138-200+1)):E138)=200,AVERAGE(INDEX(StockDaily[Adjusted close],MAX(1,$A138-200+1)):E138),"n.a.")))</f>
        <v>n.a.</v>
      </c>
      <c r="H138" s="136" t="str">
        <f>IF($A138&gt;MIN($A$10,$A$2),"",IF($A$5="","Choose stock",IF(NOT($A$12),"Check split rule",IF(NOT(ISNUMBER(B138)),"Invalid date",IF(OR(B138&lt;=0,B138&lt;&gt;INT(B138)),"Invalid date",IF(COUNTIFS(DemoHistory[Date],B138)&lt;&gt;1,"Duplicate date",IF(AND($A138&gt;1,B138&lt;=B137),"Dates out of order",IF(NOT(ISNUMBER(C138)),"Missing price",IF(C138&lt;=0,"Nonpositive price","OK")))))))))</f>
        <v>OK</v>
      </c>
      <c r="I138" s="136"/>
      <c r="J138" s="136"/>
      <c r="K138" s="136"/>
      <c r="L138" s="136"/>
      <c r="M138" s="136"/>
      <c r="N138" s="136">
        <f t="shared" si="4"/>
        <v>563.16240000000005</v>
      </c>
      <c r="O138" s="136">
        <f t="shared" si="5"/>
        <v>538.19361000000015</v>
      </c>
    </row>
    <row r="139" spans="1:15" ht="22.05" customHeight="1" x14ac:dyDescent="0.3">
      <c r="A139" s="136">
        <v>95</v>
      </c>
      <c r="B139" s="165">
        <f>IF($A139&gt;MIN($A$10,$A$2),"",INDEX(DemoHistory[Date],$A139))</f>
        <v>46234</v>
      </c>
      <c r="C139" s="166">
        <f>IF(OR($A139&gt;MIN($A$10,$A$2),$A$5=""),"",INDEX(DemoHistory[],$A139,MATCH($A$5,DemoHistory[#Headers],0)))</f>
        <v>568.84029999999996</v>
      </c>
      <c r="D139" s="166">
        <f>IF($A139&gt;MIN($A$10,$A$2),"",IF(AND($A$12,$A$6=1,B139&lt;$A$7,$A$7&lt;=MAX(DemoHistory[Date])),$A$8,1))</f>
        <v>1</v>
      </c>
      <c r="E139" s="166">
        <f t="shared" si="3"/>
        <v>568.84029999999996</v>
      </c>
      <c r="F139" s="166">
        <f>IF($A139&gt;MIN($A$10,$A$2),"",IF($A139&lt;50,"n.a.",IF(COUNT(INDEX(StockDaily[Adjusted close],MAX(1,$A139-50+1)):E139)=50,AVERAGE(INDEX(StockDaily[Adjusted close],MAX(1,$A139-50+1)):E139),"n.a.")))</f>
        <v>539.62387000000024</v>
      </c>
      <c r="G139" s="166" t="str">
        <f>IF($A139&gt;MIN($A$10,$A$2),"",IF($A139&lt;200,"n.a.",IF(COUNT(INDEX(StockDaily[Adjusted close],MAX(1,$A139-200+1)):E139)=200,AVERAGE(INDEX(StockDaily[Adjusted close],MAX(1,$A139-200+1)):E139),"n.a.")))</f>
        <v>n.a.</v>
      </c>
      <c r="H139" s="136" t="str">
        <f>IF($A139&gt;MIN($A$10,$A$2),"",IF($A$5="","Choose stock",IF(NOT($A$12),"Check split rule",IF(NOT(ISNUMBER(B139)),"Invalid date",IF(OR(B139&lt;=0,B139&lt;&gt;INT(B139)),"Invalid date",IF(COUNTIFS(DemoHistory[Date],B139)&lt;&gt;1,"Duplicate date",IF(AND($A139&gt;1,B139&lt;=B138),"Dates out of order",IF(NOT(ISNUMBER(C139)),"Missing price",IF(C139&lt;=0,"Nonpositive price","OK")))))))))</f>
        <v>OK</v>
      </c>
      <c r="I139" s="136"/>
      <c r="J139" s="136"/>
      <c r="K139" s="136"/>
      <c r="L139" s="136"/>
      <c r="M139" s="136"/>
      <c r="N139" s="136">
        <f t="shared" si="4"/>
        <v>568.84029999999996</v>
      </c>
      <c r="O139" s="136">
        <f t="shared" si="5"/>
        <v>539.62387000000024</v>
      </c>
    </row>
    <row r="140" spans="1:15" ht="22.05" customHeight="1" x14ac:dyDescent="0.3">
      <c r="A140" s="136">
        <v>96</v>
      </c>
      <c r="B140" s="165">
        <f>IF($A140&gt;MIN($A$10,$A$2),"",INDEX(DemoHistory[Date],$A140))</f>
        <v>46237</v>
      </c>
      <c r="C140" s="166">
        <f>IF(OR($A140&gt;MIN($A$10,$A$2),$A$5=""),"",INDEX(DemoHistory[],$A140,MATCH($A$5,DemoHistory[#Headers],0)))</f>
        <v>576.98940000000005</v>
      </c>
      <c r="D140" s="166">
        <f>IF($A140&gt;MIN($A$10,$A$2),"",IF(AND($A$12,$A$6=1,B140&lt;$A$7,$A$7&lt;=MAX(DemoHistory[Date])),$A$8,1))</f>
        <v>1</v>
      </c>
      <c r="E140" s="166">
        <f t="shared" si="3"/>
        <v>576.98940000000005</v>
      </c>
      <c r="F140" s="166">
        <f>IF($A140&gt;MIN($A$10,$A$2),"",IF($A140&lt;50,"n.a.",IF(COUNT(INDEX(StockDaily[Adjusted close],MAX(1,$A140-50+1)):E140)=50,AVERAGE(INDEX(StockDaily[Adjusted close],MAX(1,$A140-50+1)):E140),"n.a.")))</f>
        <v>541.0474720000002</v>
      </c>
      <c r="G140" s="166" t="str">
        <f>IF($A140&gt;MIN($A$10,$A$2),"",IF($A140&lt;200,"n.a.",IF(COUNT(INDEX(StockDaily[Adjusted close],MAX(1,$A140-200+1)):E140)=200,AVERAGE(INDEX(StockDaily[Adjusted close],MAX(1,$A140-200+1)):E140),"n.a.")))</f>
        <v>n.a.</v>
      </c>
      <c r="H140" s="136" t="str">
        <f>IF($A140&gt;MIN($A$10,$A$2),"",IF($A$5="","Choose stock",IF(NOT($A$12),"Check split rule",IF(NOT(ISNUMBER(B140)),"Invalid date",IF(OR(B140&lt;=0,B140&lt;&gt;INT(B140)),"Invalid date",IF(COUNTIFS(DemoHistory[Date],B140)&lt;&gt;1,"Duplicate date",IF(AND($A140&gt;1,B140&lt;=B139),"Dates out of order",IF(NOT(ISNUMBER(C140)),"Missing price",IF(C140&lt;=0,"Nonpositive price","OK")))))))))</f>
        <v>OK</v>
      </c>
      <c r="I140" s="136"/>
      <c r="J140" s="136"/>
      <c r="K140" s="136"/>
      <c r="L140" s="136"/>
      <c r="M140" s="136"/>
      <c r="N140" s="136">
        <f t="shared" si="4"/>
        <v>576.98940000000005</v>
      </c>
      <c r="O140" s="136">
        <f t="shared" si="5"/>
        <v>541.0474720000002</v>
      </c>
    </row>
    <row r="141" spans="1:15" ht="22.05" customHeight="1" x14ac:dyDescent="0.3">
      <c r="A141" s="136">
        <v>97</v>
      </c>
      <c r="B141" s="165">
        <f>IF($A141&gt;MIN($A$10,$A$2),"",INDEX(DemoHistory[Date],$A141))</f>
        <v>46238</v>
      </c>
      <c r="C141" s="166">
        <f>IF(OR($A141&gt;MIN($A$10,$A$2),$A$5=""),"",INDEX(DemoHistory[],$A141,MATCH($A$5,DemoHistory[#Headers],0)))</f>
        <v>583.66409999999996</v>
      </c>
      <c r="D141" s="166">
        <f>IF($A141&gt;MIN($A$10,$A$2),"",IF(AND($A$12,$A$6=1,B141&lt;$A$7,$A$7&lt;=MAX(DemoHistory[Date])),$A$8,1))</f>
        <v>1</v>
      </c>
      <c r="E141" s="166">
        <f t="shared" si="3"/>
        <v>583.66409999999996</v>
      </c>
      <c r="F141" s="166">
        <f>IF($A141&gt;MIN($A$10,$A$2),"",IF($A141&lt;50,"n.a.",IF(COUNT(INDEX(StockDaily[Adjusted close],MAX(1,$A141-50+1)):E141)=50,AVERAGE(INDEX(StockDaily[Adjusted close],MAX(1,$A141-50+1)):E141),"n.a.")))</f>
        <v>542.55784200000005</v>
      </c>
      <c r="G141" s="166" t="str">
        <f>IF($A141&gt;MIN($A$10,$A$2),"",IF($A141&lt;200,"n.a.",IF(COUNT(INDEX(StockDaily[Adjusted close],MAX(1,$A141-200+1)):E141)=200,AVERAGE(INDEX(StockDaily[Adjusted close],MAX(1,$A141-200+1)):E141),"n.a.")))</f>
        <v>n.a.</v>
      </c>
      <c r="H141" s="136" t="str">
        <f>IF($A141&gt;MIN($A$10,$A$2),"",IF($A$5="","Choose stock",IF(NOT($A$12),"Check split rule",IF(NOT(ISNUMBER(B141)),"Invalid date",IF(OR(B141&lt;=0,B141&lt;&gt;INT(B141)),"Invalid date",IF(COUNTIFS(DemoHistory[Date],B141)&lt;&gt;1,"Duplicate date",IF(AND($A141&gt;1,B141&lt;=B140),"Dates out of order",IF(NOT(ISNUMBER(C141)),"Missing price",IF(C141&lt;=0,"Nonpositive price","OK")))))))))</f>
        <v>OK</v>
      </c>
      <c r="I141" s="136"/>
      <c r="J141" s="136"/>
      <c r="K141" s="136"/>
      <c r="L141" s="136"/>
      <c r="M141" s="136"/>
      <c r="N141" s="136">
        <f t="shared" si="4"/>
        <v>583.66409999999996</v>
      </c>
      <c r="O141" s="136">
        <f t="shared" si="5"/>
        <v>542.55784200000005</v>
      </c>
    </row>
    <row r="142" spans="1:15" ht="22.05" customHeight="1" x14ac:dyDescent="0.3">
      <c r="A142" s="136">
        <v>98</v>
      </c>
      <c r="B142" s="165">
        <f>IF($A142&gt;MIN($A$10,$A$2),"",INDEX(DemoHistory[Date],$A142))</f>
        <v>46239</v>
      </c>
      <c r="C142" s="166">
        <f>IF(OR($A142&gt;MIN($A$10,$A$2),$A$5=""),"",INDEX(DemoHistory[],$A142,MATCH($A$5,DemoHistory[#Headers],0)))</f>
        <v>591.48059999999998</v>
      </c>
      <c r="D142" s="166">
        <f>IF($A142&gt;MIN($A$10,$A$2),"",IF(AND($A$12,$A$6=1,B142&lt;$A$7,$A$7&lt;=MAX(DemoHistory[Date])),$A$8,1))</f>
        <v>1</v>
      </c>
      <c r="E142" s="166">
        <f t="shared" si="3"/>
        <v>591.48059999999998</v>
      </c>
      <c r="F142" s="166">
        <f>IF($A142&gt;MIN($A$10,$A$2),"",IF($A142&lt;50,"n.a.",IF(COUNT(INDEX(StockDaily[Adjusted close],MAX(1,$A142-50+1)):E142)=50,AVERAGE(INDEX(StockDaily[Adjusted close],MAX(1,$A142-50+1)):E142),"n.a.")))</f>
        <v>544.13748599999997</v>
      </c>
      <c r="G142" s="166" t="str">
        <f>IF($A142&gt;MIN($A$10,$A$2),"",IF($A142&lt;200,"n.a.",IF(COUNT(INDEX(StockDaily[Adjusted close],MAX(1,$A142-200+1)):E142)=200,AVERAGE(INDEX(StockDaily[Adjusted close],MAX(1,$A142-200+1)):E142),"n.a.")))</f>
        <v>n.a.</v>
      </c>
      <c r="H142" s="136" t="str">
        <f>IF($A142&gt;MIN($A$10,$A$2),"",IF($A$5="","Choose stock",IF(NOT($A$12),"Check split rule",IF(NOT(ISNUMBER(B142)),"Invalid date",IF(OR(B142&lt;=0,B142&lt;&gt;INT(B142)),"Invalid date",IF(COUNTIFS(DemoHistory[Date],B142)&lt;&gt;1,"Duplicate date",IF(AND($A142&gt;1,B142&lt;=B141),"Dates out of order",IF(NOT(ISNUMBER(C142)),"Missing price",IF(C142&lt;=0,"Nonpositive price","OK")))))))))</f>
        <v>OK</v>
      </c>
      <c r="I142" s="136"/>
      <c r="J142" s="136"/>
      <c r="K142" s="136"/>
      <c r="L142" s="136"/>
      <c r="M142" s="136"/>
      <c r="N142" s="136">
        <f t="shared" si="4"/>
        <v>591.48059999999998</v>
      </c>
      <c r="O142" s="136">
        <f t="shared" si="5"/>
        <v>544.13748599999997</v>
      </c>
    </row>
    <row r="143" spans="1:15" ht="22.05" customHeight="1" x14ac:dyDescent="0.3">
      <c r="A143" s="136">
        <v>99</v>
      </c>
      <c r="B143" s="165">
        <f>IF($A143&gt;MIN($A$10,$A$2),"",INDEX(DemoHistory[Date],$A143))</f>
        <v>46240</v>
      </c>
      <c r="C143" s="166">
        <f>IF(OR($A143&gt;MIN($A$10,$A$2),$A$5=""),"",INDEX(DemoHistory[],$A143,MATCH($A$5,DemoHistory[#Headers],0)))</f>
        <v>584.34900000000005</v>
      </c>
      <c r="D143" s="166">
        <f>IF($A143&gt;MIN($A$10,$A$2),"",IF(AND($A$12,$A$6=1,B143&lt;$A$7,$A$7&lt;=MAX(DemoHistory[Date])),$A$8,1))</f>
        <v>1</v>
      </c>
      <c r="E143" s="166">
        <f t="shared" si="3"/>
        <v>584.34900000000005</v>
      </c>
      <c r="F143" s="166">
        <f>IF($A143&gt;MIN($A$10,$A$2),"",IF($A143&lt;50,"n.a.",IF(COUNT(INDEX(StockDaily[Adjusted close],MAX(1,$A143-50+1)):E143)=50,AVERAGE(INDEX(StockDaily[Adjusted close],MAX(1,$A143-50+1)):E143),"n.a.")))</f>
        <v>545.57364199999995</v>
      </c>
      <c r="G143" s="166" t="str">
        <f>IF($A143&gt;MIN($A$10,$A$2),"",IF($A143&lt;200,"n.a.",IF(COUNT(INDEX(StockDaily[Adjusted close],MAX(1,$A143-200+1)):E143)=200,AVERAGE(INDEX(StockDaily[Adjusted close],MAX(1,$A143-200+1)):E143),"n.a.")))</f>
        <v>n.a.</v>
      </c>
      <c r="H143" s="136" t="str">
        <f>IF($A143&gt;MIN($A$10,$A$2),"",IF($A$5="","Choose stock",IF(NOT($A$12),"Check split rule",IF(NOT(ISNUMBER(B143)),"Invalid date",IF(OR(B143&lt;=0,B143&lt;&gt;INT(B143)),"Invalid date",IF(COUNTIFS(DemoHistory[Date],B143)&lt;&gt;1,"Duplicate date",IF(AND($A143&gt;1,B143&lt;=B142),"Dates out of order",IF(NOT(ISNUMBER(C143)),"Missing price",IF(C143&lt;=0,"Nonpositive price","OK")))))))))</f>
        <v>OK</v>
      </c>
      <c r="I143" s="136"/>
      <c r="J143" s="136"/>
      <c r="K143" s="136"/>
      <c r="L143" s="136"/>
      <c r="M143" s="136"/>
      <c r="N143" s="136">
        <f t="shared" si="4"/>
        <v>584.34900000000005</v>
      </c>
      <c r="O143" s="136">
        <f t="shared" si="5"/>
        <v>545.57364199999995</v>
      </c>
    </row>
    <row r="144" spans="1:15" ht="22.05" customHeight="1" x14ac:dyDescent="0.3">
      <c r="A144" s="136">
        <v>100</v>
      </c>
      <c r="B144" s="165">
        <f>IF($A144&gt;MIN($A$10,$A$2),"",INDEX(DemoHistory[Date],$A144))</f>
        <v>46241</v>
      </c>
      <c r="C144" s="166">
        <f>IF(OR($A144&gt;MIN($A$10,$A$2),$A$5=""),"",INDEX(DemoHistory[],$A144,MATCH($A$5,DemoHistory[#Headers],0)))</f>
        <v>587.57929999999999</v>
      </c>
      <c r="D144" s="166">
        <f>IF($A144&gt;MIN($A$10,$A$2),"",IF(AND($A$12,$A$6=1,B144&lt;$A$7,$A$7&lt;=MAX(DemoHistory[Date])),$A$8,1))</f>
        <v>1</v>
      </c>
      <c r="E144" s="166">
        <f t="shared" si="3"/>
        <v>587.57929999999999</v>
      </c>
      <c r="F144" s="166">
        <f>IF($A144&gt;MIN($A$10,$A$2),"",IF($A144&lt;50,"n.a.",IF(COUNT(INDEX(StockDaily[Adjusted close],MAX(1,$A144-50+1)):E144)=50,AVERAGE(INDEX(StockDaily[Adjusted close],MAX(1,$A144-50+1)):E144),"n.a.")))</f>
        <v>547.04646000000014</v>
      </c>
      <c r="G144" s="166" t="str">
        <f>IF($A144&gt;MIN($A$10,$A$2),"",IF($A144&lt;200,"n.a.",IF(COUNT(INDEX(StockDaily[Adjusted close],MAX(1,$A144-200+1)):E144)=200,AVERAGE(INDEX(StockDaily[Adjusted close],MAX(1,$A144-200+1)):E144),"n.a.")))</f>
        <v>n.a.</v>
      </c>
      <c r="H144" s="136" t="str">
        <f>IF($A144&gt;MIN($A$10,$A$2),"",IF($A$5="","Choose stock",IF(NOT($A$12),"Check split rule",IF(NOT(ISNUMBER(B144)),"Invalid date",IF(OR(B144&lt;=0,B144&lt;&gt;INT(B144)),"Invalid date",IF(COUNTIFS(DemoHistory[Date],B144)&lt;&gt;1,"Duplicate date",IF(AND($A144&gt;1,B144&lt;=B143),"Dates out of order",IF(NOT(ISNUMBER(C144)),"Missing price",IF(C144&lt;=0,"Nonpositive price","OK")))))))))</f>
        <v>OK</v>
      </c>
      <c r="I144" s="136"/>
      <c r="J144" s="136"/>
      <c r="K144" s="136"/>
      <c r="L144" s="136"/>
      <c r="M144" s="136"/>
      <c r="N144" s="136">
        <f t="shared" si="4"/>
        <v>587.57929999999999</v>
      </c>
      <c r="O144" s="136">
        <f t="shared" si="5"/>
        <v>547.04646000000014</v>
      </c>
    </row>
    <row r="145" spans="1:15" ht="22.05" customHeight="1" x14ac:dyDescent="0.3">
      <c r="A145" s="136">
        <v>101</v>
      </c>
      <c r="B145" s="165">
        <f>IF($A145&gt;MIN($A$10,$A$2),"",INDEX(DemoHistory[Date],$A145))</f>
        <v>46244</v>
      </c>
      <c r="C145" s="166">
        <f>IF(OR($A145&gt;MIN($A$10,$A$2),$A$5=""),"",INDEX(DemoHistory[],$A145,MATCH($A$5,DemoHistory[#Headers],0)))</f>
        <v>580.63750000000005</v>
      </c>
      <c r="D145" s="166">
        <f>IF($A145&gt;MIN($A$10,$A$2),"",IF(AND($A$12,$A$6=1,B145&lt;$A$7,$A$7&lt;=MAX(DemoHistory[Date])),$A$8,1))</f>
        <v>1</v>
      </c>
      <c r="E145" s="166">
        <f t="shared" si="3"/>
        <v>580.63750000000005</v>
      </c>
      <c r="F145" s="166">
        <f>IF($A145&gt;MIN($A$10,$A$2),"",IF($A145&lt;50,"n.a.",IF(COUNT(INDEX(StockDaily[Adjusted close],MAX(1,$A145-50+1)):E145)=50,AVERAGE(INDEX(StockDaily[Adjusted close],MAX(1,$A145-50+1)):E145),"n.a.")))</f>
        <v>548.32059000000004</v>
      </c>
      <c r="G145" s="166" t="str">
        <f>IF($A145&gt;MIN($A$10,$A$2),"",IF($A145&lt;200,"n.a.",IF(COUNT(INDEX(StockDaily[Adjusted close],MAX(1,$A145-200+1)):E145)=200,AVERAGE(INDEX(StockDaily[Adjusted close],MAX(1,$A145-200+1)):E145),"n.a.")))</f>
        <v>n.a.</v>
      </c>
      <c r="H145" s="136" t="str">
        <f>IF($A145&gt;MIN($A$10,$A$2),"",IF($A$5="","Choose stock",IF(NOT($A$12),"Check split rule",IF(NOT(ISNUMBER(B145)),"Invalid date",IF(OR(B145&lt;=0,B145&lt;&gt;INT(B145)),"Invalid date",IF(COUNTIFS(DemoHistory[Date],B145)&lt;&gt;1,"Duplicate date",IF(AND($A145&gt;1,B145&lt;=B144),"Dates out of order",IF(NOT(ISNUMBER(C145)),"Missing price",IF(C145&lt;=0,"Nonpositive price","OK")))))))))</f>
        <v>OK</v>
      </c>
      <c r="I145" s="136"/>
      <c r="J145" s="136"/>
      <c r="K145" s="136"/>
      <c r="L145" s="136"/>
      <c r="M145" s="136"/>
      <c r="N145" s="136">
        <f t="shared" si="4"/>
        <v>580.63750000000005</v>
      </c>
      <c r="O145" s="136">
        <f t="shared" si="5"/>
        <v>548.32059000000004</v>
      </c>
    </row>
    <row r="146" spans="1:15" ht="22.05" customHeight="1" x14ac:dyDescent="0.3">
      <c r="A146" s="136">
        <v>102</v>
      </c>
      <c r="B146" s="165">
        <f>IF($A146&gt;MIN($A$10,$A$2),"",INDEX(DemoHistory[Date],$A146))</f>
        <v>46245</v>
      </c>
      <c r="C146" s="166">
        <f>IF(OR($A146&gt;MIN($A$10,$A$2),$A$5=""),"",INDEX(DemoHistory[],$A146,MATCH($A$5,DemoHistory[#Headers],0)))</f>
        <v>570.89800000000002</v>
      </c>
      <c r="D146" s="166">
        <f>IF($A146&gt;MIN($A$10,$A$2),"",IF(AND($A$12,$A$6=1,B146&lt;$A$7,$A$7&lt;=MAX(DemoHistory[Date])),$A$8,1))</f>
        <v>1</v>
      </c>
      <c r="E146" s="166">
        <f t="shared" si="3"/>
        <v>570.89800000000002</v>
      </c>
      <c r="F146" s="166">
        <f>IF($A146&gt;MIN($A$10,$A$2),"",IF($A146&lt;50,"n.a.",IF(COUNT(INDEX(StockDaily[Adjusted close],MAX(1,$A146-50+1)):E146)=50,AVERAGE(INDEX(StockDaily[Adjusted close],MAX(1,$A146-50+1)):E146),"n.a.")))</f>
        <v>549.34108000000003</v>
      </c>
      <c r="G146" s="166" t="str">
        <f>IF($A146&gt;MIN($A$10,$A$2),"",IF($A146&lt;200,"n.a.",IF(COUNT(INDEX(StockDaily[Adjusted close],MAX(1,$A146-200+1)):E146)=200,AVERAGE(INDEX(StockDaily[Adjusted close],MAX(1,$A146-200+1)):E146),"n.a.")))</f>
        <v>n.a.</v>
      </c>
      <c r="H146" s="136" t="str">
        <f>IF($A146&gt;MIN($A$10,$A$2),"",IF($A$5="","Choose stock",IF(NOT($A$12),"Check split rule",IF(NOT(ISNUMBER(B146)),"Invalid date",IF(OR(B146&lt;=0,B146&lt;&gt;INT(B146)),"Invalid date",IF(COUNTIFS(DemoHistory[Date],B146)&lt;&gt;1,"Duplicate date",IF(AND($A146&gt;1,B146&lt;=B145),"Dates out of order",IF(NOT(ISNUMBER(C146)),"Missing price",IF(C146&lt;=0,"Nonpositive price","OK")))))))))</f>
        <v>OK</v>
      </c>
      <c r="I146" s="136"/>
      <c r="J146" s="136"/>
      <c r="K146" s="136"/>
      <c r="L146" s="136"/>
      <c r="M146" s="136"/>
      <c r="N146" s="136">
        <f t="shared" si="4"/>
        <v>570.89800000000002</v>
      </c>
      <c r="O146" s="136">
        <f t="shared" si="5"/>
        <v>549.34108000000003</v>
      </c>
    </row>
    <row r="147" spans="1:15" ht="22.05" customHeight="1" x14ac:dyDescent="0.3">
      <c r="A147" s="136">
        <v>103</v>
      </c>
      <c r="B147" s="165">
        <f>IF($A147&gt;MIN($A$10,$A$2),"",INDEX(DemoHistory[Date],$A147))</f>
        <v>46246</v>
      </c>
      <c r="C147" s="166">
        <f>IF(OR($A147&gt;MIN($A$10,$A$2),$A$5=""),"",INDEX(DemoHistory[],$A147,MATCH($A$5,DemoHistory[#Headers],0)))</f>
        <v>572.25170000000003</v>
      </c>
      <c r="D147" s="166">
        <f>IF($A147&gt;MIN($A$10,$A$2),"",IF(AND($A$12,$A$6=1,B147&lt;$A$7,$A$7&lt;=MAX(DemoHistory[Date])),$A$8,1))</f>
        <v>1</v>
      </c>
      <c r="E147" s="166">
        <f t="shared" si="3"/>
        <v>572.25170000000003</v>
      </c>
      <c r="F147" s="166">
        <f>IF($A147&gt;MIN($A$10,$A$2),"",IF($A147&lt;50,"n.a.",IF(COUNT(INDEX(StockDaily[Adjusted close],MAX(1,$A147-50+1)):E147)=50,AVERAGE(INDEX(StockDaily[Adjusted close],MAX(1,$A147-50+1)):E147),"n.a.")))</f>
        <v>550.45086000000015</v>
      </c>
      <c r="G147" s="166" t="str">
        <f>IF($A147&gt;MIN($A$10,$A$2),"",IF($A147&lt;200,"n.a.",IF(COUNT(INDEX(StockDaily[Adjusted close],MAX(1,$A147-200+1)):E147)=200,AVERAGE(INDEX(StockDaily[Adjusted close],MAX(1,$A147-200+1)):E147),"n.a.")))</f>
        <v>n.a.</v>
      </c>
      <c r="H147" s="136" t="str">
        <f>IF($A147&gt;MIN($A$10,$A$2),"",IF($A$5="","Choose stock",IF(NOT($A$12),"Check split rule",IF(NOT(ISNUMBER(B147)),"Invalid date",IF(OR(B147&lt;=0,B147&lt;&gt;INT(B147)),"Invalid date",IF(COUNTIFS(DemoHistory[Date],B147)&lt;&gt;1,"Duplicate date",IF(AND($A147&gt;1,B147&lt;=B146),"Dates out of order",IF(NOT(ISNUMBER(C147)),"Missing price",IF(C147&lt;=0,"Nonpositive price","OK")))))))))</f>
        <v>OK</v>
      </c>
      <c r="I147" s="136"/>
      <c r="J147" s="136"/>
      <c r="K147" s="136"/>
      <c r="L147" s="136"/>
      <c r="M147" s="136"/>
      <c r="N147" s="136">
        <f t="shared" si="4"/>
        <v>572.25170000000003</v>
      </c>
      <c r="O147" s="136">
        <f t="shared" si="5"/>
        <v>550.45086000000015</v>
      </c>
    </row>
    <row r="148" spans="1:15" ht="22.05" customHeight="1" x14ac:dyDescent="0.3">
      <c r="A148" s="136">
        <v>104</v>
      </c>
      <c r="B148" s="165">
        <f>IF($A148&gt;MIN($A$10,$A$2),"",INDEX(DemoHistory[Date],$A148))</f>
        <v>46247</v>
      </c>
      <c r="C148" s="166">
        <f>IF(OR($A148&gt;MIN($A$10,$A$2),$A$5=""),"",INDEX(DemoHistory[],$A148,MATCH($A$5,DemoHistory[#Headers],0)))</f>
        <v>578.20389999999998</v>
      </c>
      <c r="D148" s="166">
        <f>IF($A148&gt;MIN($A$10,$A$2),"",IF(AND($A$12,$A$6=1,B148&lt;$A$7,$A$7&lt;=MAX(DemoHistory[Date])),$A$8,1))</f>
        <v>1</v>
      </c>
      <c r="E148" s="166">
        <f t="shared" si="3"/>
        <v>578.20389999999998</v>
      </c>
      <c r="F148" s="166">
        <f>IF($A148&gt;MIN($A$10,$A$2),"",IF($A148&lt;50,"n.a.",IF(COUNT(INDEX(StockDaily[Adjusted close],MAX(1,$A148-50+1)):E148)=50,AVERAGE(INDEX(StockDaily[Adjusted close],MAX(1,$A148-50+1)):E148),"n.a.")))</f>
        <v>551.82566000000008</v>
      </c>
      <c r="G148" s="166" t="str">
        <f>IF($A148&gt;MIN($A$10,$A$2),"",IF($A148&lt;200,"n.a.",IF(COUNT(INDEX(StockDaily[Adjusted close],MAX(1,$A148-200+1)):E148)=200,AVERAGE(INDEX(StockDaily[Adjusted close],MAX(1,$A148-200+1)):E148),"n.a.")))</f>
        <v>n.a.</v>
      </c>
      <c r="H148" s="136" t="str">
        <f>IF($A148&gt;MIN($A$10,$A$2),"",IF($A$5="","Choose stock",IF(NOT($A$12),"Check split rule",IF(NOT(ISNUMBER(B148)),"Invalid date",IF(OR(B148&lt;=0,B148&lt;&gt;INT(B148)),"Invalid date",IF(COUNTIFS(DemoHistory[Date],B148)&lt;&gt;1,"Duplicate date",IF(AND($A148&gt;1,B148&lt;=B147),"Dates out of order",IF(NOT(ISNUMBER(C148)),"Missing price",IF(C148&lt;=0,"Nonpositive price","OK")))))))))</f>
        <v>OK</v>
      </c>
      <c r="I148" s="136"/>
      <c r="J148" s="136"/>
      <c r="K148" s="136"/>
      <c r="L148" s="136"/>
      <c r="M148" s="136"/>
      <c r="N148" s="136">
        <f t="shared" si="4"/>
        <v>578.20389999999998</v>
      </c>
      <c r="O148" s="136">
        <f t="shared" si="5"/>
        <v>551.82566000000008</v>
      </c>
    </row>
    <row r="149" spans="1:15" ht="22.05" customHeight="1" x14ac:dyDescent="0.3">
      <c r="A149" s="136">
        <v>105</v>
      </c>
      <c r="B149" s="165">
        <f>IF($A149&gt;MIN($A$10,$A$2),"",INDEX(DemoHistory[Date],$A149))</f>
        <v>46248</v>
      </c>
      <c r="C149" s="166">
        <f>IF(OR($A149&gt;MIN($A$10,$A$2),$A$5=""),"",INDEX(DemoHistory[],$A149,MATCH($A$5,DemoHistory[#Headers],0)))</f>
        <v>573.64930000000004</v>
      </c>
      <c r="D149" s="166">
        <f>IF($A149&gt;MIN($A$10,$A$2),"",IF(AND($A$12,$A$6=1,B149&lt;$A$7,$A$7&lt;=MAX(DemoHistory[Date])),$A$8,1))</f>
        <v>1</v>
      </c>
      <c r="E149" s="166">
        <f t="shared" si="3"/>
        <v>573.64930000000004</v>
      </c>
      <c r="F149" s="166">
        <f>IF($A149&gt;MIN($A$10,$A$2),"",IF($A149&lt;50,"n.a.",IF(COUNT(INDEX(StockDaily[Adjusted close],MAX(1,$A149-50+1)):E149)=50,AVERAGE(INDEX(StockDaily[Adjusted close],MAX(1,$A149-50+1)):E149),"n.a.")))</f>
        <v>553.05185000000017</v>
      </c>
      <c r="G149" s="166" t="str">
        <f>IF($A149&gt;MIN($A$10,$A$2),"",IF($A149&lt;200,"n.a.",IF(COUNT(INDEX(StockDaily[Adjusted close],MAX(1,$A149-200+1)):E149)=200,AVERAGE(INDEX(StockDaily[Adjusted close],MAX(1,$A149-200+1)):E149),"n.a.")))</f>
        <v>n.a.</v>
      </c>
      <c r="H149" s="136" t="str">
        <f>IF($A149&gt;MIN($A$10,$A$2),"",IF($A$5="","Choose stock",IF(NOT($A$12),"Check split rule",IF(NOT(ISNUMBER(B149)),"Invalid date",IF(OR(B149&lt;=0,B149&lt;&gt;INT(B149)),"Invalid date",IF(COUNTIFS(DemoHistory[Date],B149)&lt;&gt;1,"Duplicate date",IF(AND($A149&gt;1,B149&lt;=B148),"Dates out of order",IF(NOT(ISNUMBER(C149)),"Missing price",IF(C149&lt;=0,"Nonpositive price","OK")))))))))</f>
        <v>OK</v>
      </c>
      <c r="I149" s="136"/>
      <c r="J149" s="136"/>
      <c r="K149" s="136"/>
      <c r="L149" s="136"/>
      <c r="M149" s="136"/>
      <c r="N149" s="136">
        <f t="shared" si="4"/>
        <v>573.64930000000004</v>
      </c>
      <c r="O149" s="136">
        <f t="shared" si="5"/>
        <v>553.05185000000017</v>
      </c>
    </row>
    <row r="150" spans="1:15" ht="22.05" customHeight="1" x14ac:dyDescent="0.3">
      <c r="A150" s="136">
        <v>106</v>
      </c>
      <c r="B150" s="165">
        <f>IF($A150&gt;MIN($A$10,$A$2),"",INDEX(DemoHistory[Date],$A150))</f>
        <v>46251</v>
      </c>
      <c r="C150" s="166">
        <f>IF(OR($A150&gt;MIN($A$10,$A$2),$A$5=""),"",INDEX(DemoHistory[],$A150,MATCH($A$5,DemoHistory[#Headers],0)))</f>
        <v>566.02739999999994</v>
      </c>
      <c r="D150" s="166">
        <f>IF($A150&gt;MIN($A$10,$A$2),"",IF(AND($A$12,$A$6=1,B150&lt;$A$7,$A$7&lt;=MAX(DemoHistory[Date])),$A$8,1))</f>
        <v>1</v>
      </c>
      <c r="E150" s="166">
        <f t="shared" si="3"/>
        <v>566.02739999999994</v>
      </c>
      <c r="F150" s="166">
        <f>IF($A150&gt;MIN($A$10,$A$2),"",IF($A150&lt;50,"n.a.",IF(COUNT(INDEX(StockDaily[Adjusted close],MAX(1,$A150-50+1)):E150)=50,AVERAGE(INDEX(StockDaily[Adjusted close],MAX(1,$A150-50+1)):E150),"n.a.")))</f>
        <v>553.99488200000019</v>
      </c>
      <c r="G150" s="166" t="str">
        <f>IF($A150&gt;MIN($A$10,$A$2),"",IF($A150&lt;200,"n.a.",IF(COUNT(INDEX(StockDaily[Adjusted close],MAX(1,$A150-200+1)):E150)=200,AVERAGE(INDEX(StockDaily[Adjusted close],MAX(1,$A150-200+1)):E150),"n.a.")))</f>
        <v>n.a.</v>
      </c>
      <c r="H150" s="136" t="str">
        <f>IF($A150&gt;MIN($A$10,$A$2),"",IF($A$5="","Choose stock",IF(NOT($A$12),"Check split rule",IF(NOT(ISNUMBER(B150)),"Invalid date",IF(OR(B150&lt;=0,B150&lt;&gt;INT(B150)),"Invalid date",IF(COUNTIFS(DemoHistory[Date],B150)&lt;&gt;1,"Duplicate date",IF(AND($A150&gt;1,B150&lt;=B149),"Dates out of order",IF(NOT(ISNUMBER(C150)),"Missing price",IF(C150&lt;=0,"Nonpositive price","OK")))))))))</f>
        <v>OK</v>
      </c>
      <c r="I150" s="136"/>
      <c r="J150" s="136"/>
      <c r="K150" s="136"/>
      <c r="L150" s="136"/>
      <c r="M150" s="136"/>
      <c r="N150" s="136">
        <f t="shared" si="4"/>
        <v>566.02739999999994</v>
      </c>
      <c r="O150" s="136">
        <f t="shared" si="5"/>
        <v>553.99488200000019</v>
      </c>
    </row>
    <row r="151" spans="1:15" ht="22.05" customHeight="1" x14ac:dyDescent="0.3">
      <c r="A151" s="136">
        <v>107</v>
      </c>
      <c r="B151" s="165">
        <f>IF($A151&gt;MIN($A$10,$A$2),"",INDEX(DemoHistory[Date],$A151))</f>
        <v>46252</v>
      </c>
      <c r="C151" s="166">
        <f>IF(OR($A151&gt;MIN($A$10,$A$2),$A$5=""),"",INDEX(DemoHistory[],$A151,MATCH($A$5,DemoHistory[#Headers],0)))</f>
        <v>565.4402</v>
      </c>
      <c r="D151" s="166">
        <f>IF($A151&gt;MIN($A$10,$A$2),"",IF(AND($A$12,$A$6=1,B151&lt;$A$7,$A$7&lt;=MAX(DemoHistory[Date])),$A$8,1))</f>
        <v>1</v>
      </c>
      <c r="E151" s="166">
        <f t="shared" si="3"/>
        <v>565.4402</v>
      </c>
      <c r="F151" s="166">
        <f>IF($A151&gt;MIN($A$10,$A$2),"",IF($A151&lt;50,"n.a.",IF(COUNT(INDEX(StockDaily[Adjusted close],MAX(1,$A151-50+1)):E151)=50,AVERAGE(INDEX(StockDaily[Adjusted close],MAX(1,$A151-50+1)):E151),"n.a.")))</f>
        <v>554.91506000000004</v>
      </c>
      <c r="G151" s="166" t="str">
        <f>IF($A151&gt;MIN($A$10,$A$2),"",IF($A151&lt;200,"n.a.",IF(COUNT(INDEX(StockDaily[Adjusted close],MAX(1,$A151-200+1)):E151)=200,AVERAGE(INDEX(StockDaily[Adjusted close],MAX(1,$A151-200+1)):E151),"n.a.")))</f>
        <v>n.a.</v>
      </c>
      <c r="H151" s="136" t="str">
        <f>IF($A151&gt;MIN($A$10,$A$2),"",IF($A$5="","Choose stock",IF(NOT($A$12),"Check split rule",IF(NOT(ISNUMBER(B151)),"Invalid date",IF(OR(B151&lt;=0,B151&lt;&gt;INT(B151)),"Invalid date",IF(COUNTIFS(DemoHistory[Date],B151)&lt;&gt;1,"Duplicate date",IF(AND($A151&gt;1,B151&lt;=B150),"Dates out of order",IF(NOT(ISNUMBER(C151)),"Missing price",IF(C151&lt;=0,"Nonpositive price","OK")))))))))</f>
        <v>OK</v>
      </c>
      <c r="I151" s="136"/>
      <c r="J151" s="136"/>
      <c r="K151" s="136"/>
      <c r="L151" s="136"/>
      <c r="M151" s="136"/>
      <c r="N151" s="136">
        <f t="shared" si="4"/>
        <v>565.4402</v>
      </c>
      <c r="O151" s="136">
        <f t="shared" si="5"/>
        <v>554.91506000000004</v>
      </c>
    </row>
    <row r="152" spans="1:15" ht="22.05" customHeight="1" x14ac:dyDescent="0.3">
      <c r="A152" s="136">
        <v>108</v>
      </c>
      <c r="B152" s="165">
        <f>IF($A152&gt;MIN($A$10,$A$2),"",INDEX(DemoHistory[Date],$A152))</f>
        <v>46253</v>
      </c>
      <c r="C152" s="166">
        <f>IF(OR($A152&gt;MIN($A$10,$A$2),$A$5=""),"",INDEX(DemoHistory[],$A152,MATCH($A$5,DemoHistory[#Headers],0)))</f>
        <v>560.97879999999998</v>
      </c>
      <c r="D152" s="166">
        <f>IF($A152&gt;MIN($A$10,$A$2),"",IF(AND($A$12,$A$6=1,B152&lt;$A$7,$A$7&lt;=MAX(DemoHistory[Date])),$A$8,1))</f>
        <v>1</v>
      </c>
      <c r="E152" s="166">
        <f t="shared" si="3"/>
        <v>560.97879999999998</v>
      </c>
      <c r="F152" s="166">
        <f>IF($A152&gt;MIN($A$10,$A$2),"",IF($A152&lt;50,"n.a.",IF(COUNT(INDEX(StockDaily[Adjusted close],MAX(1,$A152-50+1)):E152)=50,AVERAGE(INDEX(StockDaily[Adjusted close],MAX(1,$A152-50+1)):E152),"n.a.")))</f>
        <v>555.83122200000003</v>
      </c>
      <c r="G152" s="166" t="str">
        <f>IF($A152&gt;MIN($A$10,$A$2),"",IF($A152&lt;200,"n.a.",IF(COUNT(INDEX(StockDaily[Adjusted close],MAX(1,$A152-200+1)):E152)=200,AVERAGE(INDEX(StockDaily[Adjusted close],MAX(1,$A152-200+1)):E152),"n.a.")))</f>
        <v>n.a.</v>
      </c>
      <c r="H152" s="136" t="str">
        <f>IF($A152&gt;MIN($A$10,$A$2),"",IF($A$5="","Choose stock",IF(NOT($A$12),"Check split rule",IF(NOT(ISNUMBER(B152)),"Invalid date",IF(OR(B152&lt;=0,B152&lt;&gt;INT(B152)),"Invalid date",IF(COUNTIFS(DemoHistory[Date],B152)&lt;&gt;1,"Duplicate date",IF(AND($A152&gt;1,B152&lt;=B151),"Dates out of order",IF(NOT(ISNUMBER(C152)),"Missing price",IF(C152&lt;=0,"Nonpositive price","OK")))))))))</f>
        <v>OK</v>
      </c>
      <c r="I152" s="136"/>
      <c r="J152" s="136"/>
      <c r="K152" s="136"/>
      <c r="L152" s="136"/>
      <c r="M152" s="136"/>
      <c r="N152" s="136">
        <f t="shared" si="4"/>
        <v>560.97879999999998</v>
      </c>
      <c r="O152" s="136">
        <f t="shared" si="5"/>
        <v>555.83122200000003</v>
      </c>
    </row>
    <row r="153" spans="1:15" ht="22.05" customHeight="1" x14ac:dyDescent="0.3">
      <c r="A153" s="136">
        <v>109</v>
      </c>
      <c r="B153" s="165">
        <f>IF($A153&gt;MIN($A$10,$A$2),"",INDEX(DemoHistory[Date],$A153))</f>
        <v>46254</v>
      </c>
      <c r="C153" s="166">
        <f>IF(OR($A153&gt;MIN($A$10,$A$2),$A$5=""),"",INDEX(DemoHistory[],$A153,MATCH($A$5,DemoHistory[#Headers],0)))</f>
        <v>562.10469999999998</v>
      </c>
      <c r="D153" s="166">
        <f>IF($A153&gt;MIN($A$10,$A$2),"",IF(AND($A$12,$A$6=1,B153&lt;$A$7,$A$7&lt;=MAX(DemoHistory[Date])),$A$8,1))</f>
        <v>1</v>
      </c>
      <c r="E153" s="166">
        <f t="shared" si="3"/>
        <v>562.10469999999998</v>
      </c>
      <c r="F153" s="166">
        <f>IF($A153&gt;MIN($A$10,$A$2),"",IF($A153&lt;50,"n.a.",IF(COUNT(INDEX(StockDaily[Adjusted close],MAX(1,$A153-50+1)):E153)=50,AVERAGE(INDEX(StockDaily[Adjusted close],MAX(1,$A153-50+1)):E153),"n.a.")))</f>
        <v>556.85306400000013</v>
      </c>
      <c r="G153" s="166" t="str">
        <f>IF($A153&gt;MIN($A$10,$A$2),"",IF($A153&lt;200,"n.a.",IF(COUNT(INDEX(StockDaily[Adjusted close],MAX(1,$A153-200+1)):E153)=200,AVERAGE(INDEX(StockDaily[Adjusted close],MAX(1,$A153-200+1)):E153),"n.a.")))</f>
        <v>n.a.</v>
      </c>
      <c r="H153" s="136" t="str">
        <f>IF($A153&gt;MIN($A$10,$A$2),"",IF($A$5="","Choose stock",IF(NOT($A$12),"Check split rule",IF(NOT(ISNUMBER(B153)),"Invalid date",IF(OR(B153&lt;=0,B153&lt;&gt;INT(B153)),"Invalid date",IF(COUNTIFS(DemoHistory[Date],B153)&lt;&gt;1,"Duplicate date",IF(AND($A153&gt;1,B153&lt;=B152),"Dates out of order",IF(NOT(ISNUMBER(C153)),"Missing price",IF(C153&lt;=0,"Nonpositive price","OK")))))))))</f>
        <v>OK</v>
      </c>
      <c r="I153" s="136"/>
      <c r="J153" s="136"/>
      <c r="K153" s="136"/>
      <c r="L153" s="136"/>
      <c r="M153" s="136"/>
      <c r="N153" s="136">
        <f t="shared" si="4"/>
        <v>562.10469999999998</v>
      </c>
      <c r="O153" s="136">
        <f t="shared" si="5"/>
        <v>556.85306400000013</v>
      </c>
    </row>
    <row r="154" spans="1:15" ht="22.05" customHeight="1" x14ac:dyDescent="0.3">
      <c r="A154" s="136">
        <v>110</v>
      </c>
      <c r="B154" s="165">
        <f>IF($A154&gt;MIN($A$10,$A$2),"",INDEX(DemoHistory[Date],$A154))</f>
        <v>46255</v>
      </c>
      <c r="C154" s="166">
        <f>IF(OR($A154&gt;MIN($A$10,$A$2),$A$5=""),"",INDEX(DemoHistory[],$A154,MATCH($A$5,DemoHistory[#Headers],0)))</f>
        <v>557.9701</v>
      </c>
      <c r="D154" s="166">
        <f>IF($A154&gt;MIN($A$10,$A$2),"",IF(AND($A$12,$A$6=1,B154&lt;$A$7,$A$7&lt;=MAX(DemoHistory[Date])),$A$8,1))</f>
        <v>1</v>
      </c>
      <c r="E154" s="166">
        <f t="shared" si="3"/>
        <v>557.9701</v>
      </c>
      <c r="F154" s="166">
        <f>IF($A154&gt;MIN($A$10,$A$2),"",IF($A154&lt;50,"n.a.",IF(COUNT(INDEX(StockDaily[Adjusted close],MAX(1,$A154-50+1)):E154)=50,AVERAGE(INDEX(StockDaily[Adjusted close],MAX(1,$A154-50+1)):E154),"n.a.")))</f>
        <v>557.72934399999997</v>
      </c>
      <c r="G154" s="166" t="str">
        <f>IF($A154&gt;MIN($A$10,$A$2),"",IF($A154&lt;200,"n.a.",IF(COUNT(INDEX(StockDaily[Adjusted close],MAX(1,$A154-200+1)):E154)=200,AVERAGE(INDEX(StockDaily[Adjusted close],MAX(1,$A154-200+1)):E154),"n.a.")))</f>
        <v>n.a.</v>
      </c>
      <c r="H154" s="136" t="str">
        <f>IF($A154&gt;MIN($A$10,$A$2),"",IF($A$5="","Choose stock",IF(NOT($A$12),"Check split rule",IF(NOT(ISNUMBER(B154)),"Invalid date",IF(OR(B154&lt;=0,B154&lt;&gt;INT(B154)),"Invalid date",IF(COUNTIFS(DemoHistory[Date],B154)&lt;&gt;1,"Duplicate date",IF(AND($A154&gt;1,B154&lt;=B153),"Dates out of order",IF(NOT(ISNUMBER(C154)),"Missing price",IF(C154&lt;=0,"Nonpositive price","OK")))))))))</f>
        <v>OK</v>
      </c>
      <c r="I154" s="136"/>
      <c r="J154" s="136"/>
      <c r="K154" s="136"/>
      <c r="L154" s="136"/>
      <c r="M154" s="136"/>
      <c r="N154" s="136">
        <f t="shared" si="4"/>
        <v>557.9701</v>
      </c>
      <c r="O154" s="136">
        <f t="shared" si="5"/>
        <v>557.72934399999997</v>
      </c>
    </row>
    <row r="155" spans="1:15" ht="22.05" customHeight="1" x14ac:dyDescent="0.3">
      <c r="A155" s="136">
        <v>111</v>
      </c>
      <c r="B155" s="165">
        <f>IF($A155&gt;MIN($A$10,$A$2),"",INDEX(DemoHistory[Date],$A155))</f>
        <v>46258</v>
      </c>
      <c r="C155" s="166">
        <f>IF(OR($A155&gt;MIN($A$10,$A$2),$A$5=""),"",INDEX(DemoHistory[],$A155,MATCH($A$5,DemoHistory[#Headers],0)))</f>
        <v>564.97140000000002</v>
      </c>
      <c r="D155" s="166">
        <f>IF($A155&gt;MIN($A$10,$A$2),"",IF(AND($A$12,$A$6=1,B155&lt;$A$7,$A$7&lt;=MAX(DemoHistory[Date])),$A$8,1))</f>
        <v>1</v>
      </c>
      <c r="E155" s="166">
        <f t="shared" si="3"/>
        <v>564.97140000000002</v>
      </c>
      <c r="F155" s="166">
        <f>IF($A155&gt;MIN($A$10,$A$2),"",IF($A155&lt;50,"n.a.",IF(COUNT(INDEX(StockDaily[Adjusted close],MAX(1,$A155-50+1)):E155)=50,AVERAGE(INDEX(StockDaily[Adjusted close],MAX(1,$A155-50+1)):E155),"n.a.")))</f>
        <v>558.76739200000009</v>
      </c>
      <c r="G155" s="166" t="str">
        <f>IF($A155&gt;MIN($A$10,$A$2),"",IF($A155&lt;200,"n.a.",IF(COUNT(INDEX(StockDaily[Adjusted close],MAX(1,$A155-200+1)):E155)=200,AVERAGE(INDEX(StockDaily[Adjusted close],MAX(1,$A155-200+1)):E155),"n.a.")))</f>
        <v>n.a.</v>
      </c>
      <c r="H155" s="136" t="str">
        <f>IF($A155&gt;MIN($A$10,$A$2),"",IF($A$5="","Choose stock",IF(NOT($A$12),"Check split rule",IF(NOT(ISNUMBER(B155)),"Invalid date",IF(OR(B155&lt;=0,B155&lt;&gt;INT(B155)),"Invalid date",IF(COUNTIFS(DemoHistory[Date],B155)&lt;&gt;1,"Duplicate date",IF(AND($A155&gt;1,B155&lt;=B154),"Dates out of order",IF(NOT(ISNUMBER(C155)),"Missing price",IF(C155&lt;=0,"Nonpositive price","OK")))))))))</f>
        <v>OK</v>
      </c>
      <c r="I155" s="136"/>
      <c r="J155" s="136"/>
      <c r="K155" s="136"/>
      <c r="L155" s="136"/>
      <c r="M155" s="136"/>
      <c r="N155" s="136">
        <f t="shared" si="4"/>
        <v>564.97140000000002</v>
      </c>
      <c r="O155" s="136">
        <f t="shared" si="5"/>
        <v>558.76739200000009</v>
      </c>
    </row>
    <row r="156" spans="1:15" ht="22.05" customHeight="1" x14ac:dyDescent="0.3">
      <c r="A156" s="136">
        <v>112</v>
      </c>
      <c r="B156" s="165">
        <f>IF($A156&gt;MIN($A$10,$A$2),"",INDEX(DemoHistory[Date],$A156))</f>
        <v>46259</v>
      </c>
      <c r="C156" s="166">
        <f>IF(OR($A156&gt;MIN($A$10,$A$2),$A$5=""),"",INDEX(DemoHistory[],$A156,MATCH($A$5,DemoHistory[#Headers],0)))</f>
        <v>562.61059999999998</v>
      </c>
      <c r="D156" s="166">
        <f>IF($A156&gt;MIN($A$10,$A$2),"",IF(AND($A$12,$A$6=1,B156&lt;$A$7,$A$7&lt;=MAX(DemoHistory[Date])),$A$8,1))</f>
        <v>1</v>
      </c>
      <c r="E156" s="166">
        <f t="shared" si="3"/>
        <v>562.61059999999998</v>
      </c>
      <c r="F156" s="166">
        <f>IF($A156&gt;MIN($A$10,$A$2),"",IF($A156&lt;50,"n.a.",IF(COUNT(INDEX(StockDaily[Adjusted close],MAX(1,$A156-50+1)):E156)=50,AVERAGE(INDEX(StockDaily[Adjusted close],MAX(1,$A156-50+1)):E156),"n.a.")))</f>
        <v>559.74419</v>
      </c>
      <c r="G156" s="166" t="str">
        <f>IF($A156&gt;MIN($A$10,$A$2),"",IF($A156&lt;200,"n.a.",IF(COUNT(INDEX(StockDaily[Adjusted close],MAX(1,$A156-200+1)):E156)=200,AVERAGE(INDEX(StockDaily[Adjusted close],MAX(1,$A156-200+1)):E156),"n.a.")))</f>
        <v>n.a.</v>
      </c>
      <c r="H156" s="136" t="str">
        <f>IF($A156&gt;MIN($A$10,$A$2),"",IF($A$5="","Choose stock",IF(NOT($A$12),"Check split rule",IF(NOT(ISNUMBER(B156)),"Invalid date",IF(OR(B156&lt;=0,B156&lt;&gt;INT(B156)),"Invalid date",IF(COUNTIFS(DemoHistory[Date],B156)&lt;&gt;1,"Duplicate date",IF(AND($A156&gt;1,B156&lt;=B155),"Dates out of order",IF(NOT(ISNUMBER(C156)),"Missing price",IF(C156&lt;=0,"Nonpositive price","OK")))))))))</f>
        <v>OK</v>
      </c>
      <c r="I156" s="136"/>
      <c r="J156" s="136"/>
      <c r="K156" s="136"/>
      <c r="L156" s="136"/>
      <c r="M156" s="136"/>
      <c r="N156" s="136">
        <f t="shared" si="4"/>
        <v>562.61059999999998</v>
      </c>
      <c r="O156" s="136">
        <f t="shared" si="5"/>
        <v>559.74419</v>
      </c>
    </row>
    <row r="157" spans="1:15" ht="22.05" customHeight="1" x14ac:dyDescent="0.3">
      <c r="A157" s="136">
        <v>113</v>
      </c>
      <c r="B157" s="165">
        <f>IF($A157&gt;MIN($A$10,$A$2),"",INDEX(DemoHistory[Date],$A157))</f>
        <v>46260</v>
      </c>
      <c r="C157" s="166">
        <f>IF(OR($A157&gt;MIN($A$10,$A$2),$A$5=""),"",INDEX(DemoHistory[],$A157,MATCH($A$5,DemoHistory[#Headers],0)))</f>
        <v>557.77480000000003</v>
      </c>
      <c r="D157" s="166">
        <f>IF($A157&gt;MIN($A$10,$A$2),"",IF(AND($A$12,$A$6=1,B157&lt;$A$7,$A$7&lt;=MAX(DemoHistory[Date])),$A$8,1))</f>
        <v>1</v>
      </c>
      <c r="E157" s="166">
        <f t="shared" si="3"/>
        <v>557.77480000000003</v>
      </c>
      <c r="F157" s="166">
        <f>IF($A157&gt;MIN($A$10,$A$2),"",IF($A157&lt;50,"n.a.",IF(COUNT(INDEX(StockDaily[Adjusted close],MAX(1,$A157-50+1)):E157)=50,AVERAGE(INDEX(StockDaily[Adjusted close],MAX(1,$A157-50+1)):E157),"n.a.")))</f>
        <v>560.51103999999998</v>
      </c>
      <c r="G157" s="166" t="str">
        <f>IF($A157&gt;MIN($A$10,$A$2),"",IF($A157&lt;200,"n.a.",IF(COUNT(INDEX(StockDaily[Adjusted close],MAX(1,$A157-200+1)):E157)=200,AVERAGE(INDEX(StockDaily[Adjusted close],MAX(1,$A157-200+1)):E157),"n.a.")))</f>
        <v>n.a.</v>
      </c>
      <c r="H157" s="136" t="str">
        <f>IF($A157&gt;MIN($A$10,$A$2),"",IF($A$5="","Choose stock",IF(NOT($A$12),"Check split rule",IF(NOT(ISNUMBER(B157)),"Invalid date",IF(OR(B157&lt;=0,B157&lt;&gt;INT(B157)),"Invalid date",IF(COUNTIFS(DemoHistory[Date],B157)&lt;&gt;1,"Duplicate date",IF(AND($A157&gt;1,B157&lt;=B156),"Dates out of order",IF(NOT(ISNUMBER(C157)),"Missing price",IF(C157&lt;=0,"Nonpositive price","OK")))))))))</f>
        <v>OK</v>
      </c>
      <c r="I157" s="136"/>
      <c r="J157" s="136"/>
      <c r="K157" s="136"/>
      <c r="L157" s="136"/>
      <c r="M157" s="136"/>
      <c r="N157" s="136">
        <f t="shared" si="4"/>
        <v>557.77480000000003</v>
      </c>
      <c r="O157" s="136">
        <f t="shared" si="5"/>
        <v>560.51103999999998</v>
      </c>
    </row>
    <row r="158" spans="1:15" ht="22.05" customHeight="1" x14ac:dyDescent="0.3">
      <c r="A158" s="136">
        <v>114</v>
      </c>
      <c r="B158" s="165">
        <f>IF($A158&gt;MIN($A$10,$A$2),"",INDEX(DemoHistory[Date],$A158))</f>
        <v>46261</v>
      </c>
      <c r="C158" s="166">
        <f>IF(OR($A158&gt;MIN($A$10,$A$2),$A$5=""),"",INDEX(DemoHistory[],$A158,MATCH($A$5,DemoHistory[#Headers],0)))</f>
        <v>547.86419999999998</v>
      </c>
      <c r="D158" s="166">
        <f>IF($A158&gt;MIN($A$10,$A$2),"",IF(AND($A$12,$A$6=1,B158&lt;$A$7,$A$7&lt;=MAX(DemoHistory[Date])),$A$8,1))</f>
        <v>1</v>
      </c>
      <c r="E158" s="166">
        <f t="shared" si="3"/>
        <v>547.86419999999998</v>
      </c>
      <c r="F158" s="166">
        <f>IF($A158&gt;MIN($A$10,$A$2),"",IF($A158&lt;50,"n.a.",IF(COUNT(INDEX(StockDaily[Adjusted close],MAX(1,$A158-50+1)):E158)=50,AVERAGE(INDEX(StockDaily[Adjusted close],MAX(1,$A158-50+1)):E158),"n.a.")))</f>
        <v>561.13124400000004</v>
      </c>
      <c r="G158" s="166" t="str">
        <f>IF($A158&gt;MIN($A$10,$A$2),"",IF($A158&lt;200,"n.a.",IF(COUNT(INDEX(StockDaily[Adjusted close],MAX(1,$A158-200+1)):E158)=200,AVERAGE(INDEX(StockDaily[Adjusted close],MAX(1,$A158-200+1)):E158),"n.a.")))</f>
        <v>n.a.</v>
      </c>
      <c r="H158" s="136" t="str">
        <f>IF($A158&gt;MIN($A$10,$A$2),"",IF($A$5="","Choose stock",IF(NOT($A$12),"Check split rule",IF(NOT(ISNUMBER(B158)),"Invalid date",IF(OR(B158&lt;=0,B158&lt;&gt;INT(B158)),"Invalid date",IF(COUNTIFS(DemoHistory[Date],B158)&lt;&gt;1,"Duplicate date",IF(AND($A158&gt;1,B158&lt;=B157),"Dates out of order",IF(NOT(ISNUMBER(C158)),"Missing price",IF(C158&lt;=0,"Nonpositive price","OK")))))))))</f>
        <v>OK</v>
      </c>
      <c r="I158" s="136"/>
      <c r="J158" s="136"/>
      <c r="K158" s="136"/>
      <c r="L158" s="136"/>
      <c r="M158" s="136"/>
      <c r="N158" s="136">
        <f t="shared" si="4"/>
        <v>547.86419999999998</v>
      </c>
      <c r="O158" s="136">
        <f t="shared" si="5"/>
        <v>561.13124400000004</v>
      </c>
    </row>
    <row r="159" spans="1:15" ht="22.05" customHeight="1" x14ac:dyDescent="0.3">
      <c r="A159" s="136">
        <v>115</v>
      </c>
      <c r="B159" s="165">
        <f>IF($A159&gt;MIN($A$10,$A$2),"",INDEX(DemoHistory[Date],$A159))</f>
        <v>46262</v>
      </c>
      <c r="C159" s="166">
        <f>IF(OR($A159&gt;MIN($A$10,$A$2),$A$5=""),"",INDEX(DemoHistory[],$A159,MATCH($A$5,DemoHistory[#Headers],0)))</f>
        <v>552.94259999999997</v>
      </c>
      <c r="D159" s="166">
        <f>IF($A159&gt;MIN($A$10,$A$2),"",IF(AND($A$12,$A$6=1,B159&lt;$A$7,$A$7&lt;=MAX(DemoHistory[Date])),$A$8,1))</f>
        <v>1</v>
      </c>
      <c r="E159" s="166">
        <f t="shared" si="3"/>
        <v>552.94259999999997</v>
      </c>
      <c r="F159" s="166">
        <f>IF($A159&gt;MIN($A$10,$A$2),"",IF($A159&lt;50,"n.a.",IF(COUNT(INDEX(StockDaily[Adjusted close],MAX(1,$A159-50+1)):E159)=50,AVERAGE(INDEX(StockDaily[Adjusted close],MAX(1,$A159-50+1)):E159),"n.a.")))</f>
        <v>561.75804799999992</v>
      </c>
      <c r="G159" s="166" t="str">
        <f>IF($A159&gt;MIN($A$10,$A$2),"",IF($A159&lt;200,"n.a.",IF(COUNT(INDEX(StockDaily[Adjusted close],MAX(1,$A159-200+1)):E159)=200,AVERAGE(INDEX(StockDaily[Adjusted close],MAX(1,$A159-200+1)):E159),"n.a.")))</f>
        <v>n.a.</v>
      </c>
      <c r="H159" s="136" t="str">
        <f>IF($A159&gt;MIN($A$10,$A$2),"",IF($A$5="","Choose stock",IF(NOT($A$12),"Check split rule",IF(NOT(ISNUMBER(B159)),"Invalid date",IF(OR(B159&lt;=0,B159&lt;&gt;INT(B159)),"Invalid date",IF(COUNTIFS(DemoHistory[Date],B159)&lt;&gt;1,"Duplicate date",IF(AND($A159&gt;1,B159&lt;=B158),"Dates out of order",IF(NOT(ISNUMBER(C159)),"Missing price",IF(C159&lt;=0,"Nonpositive price","OK")))))))))</f>
        <v>OK</v>
      </c>
      <c r="I159" s="136"/>
      <c r="J159" s="136"/>
      <c r="K159" s="136"/>
      <c r="L159" s="136"/>
      <c r="M159" s="136"/>
      <c r="N159" s="136">
        <f t="shared" si="4"/>
        <v>552.94259999999997</v>
      </c>
      <c r="O159" s="136">
        <f t="shared" si="5"/>
        <v>561.75804799999992</v>
      </c>
    </row>
    <row r="160" spans="1:15" ht="22.05" customHeight="1" x14ac:dyDescent="0.3">
      <c r="A160" s="136">
        <v>116</v>
      </c>
      <c r="B160" s="165">
        <f>IF($A160&gt;MIN($A$10,$A$2),"",INDEX(DemoHistory[Date],$A160))</f>
        <v>46265</v>
      </c>
      <c r="C160" s="166">
        <f>IF(OR($A160&gt;MIN($A$10,$A$2),$A$5=""),"",INDEX(DemoHistory[],$A160,MATCH($A$5,DemoHistory[#Headers],0)))</f>
        <v>555.58169999999996</v>
      </c>
      <c r="D160" s="166">
        <f>IF($A160&gt;MIN($A$10,$A$2),"",IF(AND($A$12,$A$6=1,B160&lt;$A$7,$A$7&lt;=MAX(DemoHistory[Date])),$A$8,1))</f>
        <v>1</v>
      </c>
      <c r="E160" s="166">
        <f t="shared" si="3"/>
        <v>555.58169999999996</v>
      </c>
      <c r="F160" s="166">
        <f>IF($A160&gt;MIN($A$10,$A$2),"",IF($A160&lt;50,"n.a.",IF(COUNT(INDEX(StockDaily[Adjusted close],MAX(1,$A160-50+1)):E160)=50,AVERAGE(INDEX(StockDaily[Adjusted close],MAX(1,$A160-50+1)):E160),"n.a.")))</f>
        <v>562.22770199999979</v>
      </c>
      <c r="G160" s="166" t="str">
        <f>IF($A160&gt;MIN($A$10,$A$2),"",IF($A160&lt;200,"n.a.",IF(COUNT(INDEX(StockDaily[Adjusted close],MAX(1,$A160-200+1)):E160)=200,AVERAGE(INDEX(StockDaily[Adjusted close],MAX(1,$A160-200+1)):E160),"n.a.")))</f>
        <v>n.a.</v>
      </c>
      <c r="H160" s="136" t="str">
        <f>IF($A160&gt;MIN($A$10,$A$2),"",IF($A$5="","Choose stock",IF(NOT($A$12),"Check split rule",IF(NOT(ISNUMBER(B160)),"Invalid date",IF(OR(B160&lt;=0,B160&lt;&gt;INT(B160)),"Invalid date",IF(COUNTIFS(DemoHistory[Date],B160)&lt;&gt;1,"Duplicate date",IF(AND($A160&gt;1,B160&lt;=B159),"Dates out of order",IF(NOT(ISNUMBER(C160)),"Missing price",IF(C160&lt;=0,"Nonpositive price","OK")))))))))</f>
        <v>OK</v>
      </c>
      <c r="I160" s="136"/>
      <c r="J160" s="136"/>
      <c r="K160" s="136"/>
      <c r="L160" s="136"/>
      <c r="M160" s="136"/>
      <c r="N160" s="136">
        <f t="shared" si="4"/>
        <v>555.58169999999996</v>
      </c>
      <c r="O160" s="136">
        <f t="shared" si="5"/>
        <v>562.22770199999979</v>
      </c>
    </row>
    <row r="161" spans="1:15" ht="22.05" customHeight="1" x14ac:dyDescent="0.3">
      <c r="A161" s="136">
        <v>117</v>
      </c>
      <c r="B161" s="165">
        <f>IF($A161&gt;MIN($A$10,$A$2),"",INDEX(DemoHistory[Date],$A161))</f>
        <v>46266</v>
      </c>
      <c r="C161" s="166">
        <f>IF(OR($A161&gt;MIN($A$10,$A$2),$A$5=""),"",INDEX(DemoHistory[],$A161,MATCH($A$5,DemoHistory[#Headers],0)))</f>
        <v>565.8605</v>
      </c>
      <c r="D161" s="166">
        <f>IF($A161&gt;MIN($A$10,$A$2),"",IF(AND($A$12,$A$6=1,B161&lt;$A$7,$A$7&lt;=MAX(DemoHistory[Date])),$A$8,1))</f>
        <v>1</v>
      </c>
      <c r="E161" s="166">
        <f t="shared" si="3"/>
        <v>565.8605</v>
      </c>
      <c r="F161" s="166">
        <f>IF($A161&gt;MIN($A$10,$A$2),"",IF($A161&lt;50,"n.a.",IF(COUNT(INDEX(StockDaily[Adjusted close],MAX(1,$A161-50+1)):E161)=50,AVERAGE(INDEX(StockDaily[Adjusted close],MAX(1,$A161-50+1)):E161),"n.a.")))</f>
        <v>562.80947199999991</v>
      </c>
      <c r="G161" s="166" t="str">
        <f>IF($A161&gt;MIN($A$10,$A$2),"",IF($A161&lt;200,"n.a.",IF(COUNT(INDEX(StockDaily[Adjusted close],MAX(1,$A161-200+1)):E161)=200,AVERAGE(INDEX(StockDaily[Adjusted close],MAX(1,$A161-200+1)):E161),"n.a.")))</f>
        <v>n.a.</v>
      </c>
      <c r="H161" s="136" t="str">
        <f>IF($A161&gt;MIN($A$10,$A$2),"",IF($A$5="","Choose stock",IF(NOT($A$12),"Check split rule",IF(NOT(ISNUMBER(B161)),"Invalid date",IF(OR(B161&lt;=0,B161&lt;&gt;INT(B161)),"Invalid date",IF(COUNTIFS(DemoHistory[Date],B161)&lt;&gt;1,"Duplicate date",IF(AND($A161&gt;1,B161&lt;=B160),"Dates out of order",IF(NOT(ISNUMBER(C161)),"Missing price",IF(C161&lt;=0,"Nonpositive price","OK")))))))))</f>
        <v>OK</v>
      </c>
      <c r="I161" s="136"/>
      <c r="J161" s="136"/>
      <c r="K161" s="136"/>
      <c r="L161" s="136"/>
      <c r="M161" s="136"/>
      <c r="N161" s="136">
        <f t="shared" si="4"/>
        <v>565.8605</v>
      </c>
      <c r="O161" s="136">
        <f t="shared" si="5"/>
        <v>562.80947199999991</v>
      </c>
    </row>
    <row r="162" spans="1:15" ht="22.05" customHeight="1" x14ac:dyDescent="0.3">
      <c r="A162" s="136">
        <v>118</v>
      </c>
      <c r="B162" s="165">
        <f>IF($A162&gt;MIN($A$10,$A$2),"",INDEX(DemoHistory[Date],$A162))</f>
        <v>46267</v>
      </c>
      <c r="C162" s="166">
        <f>IF(OR($A162&gt;MIN($A$10,$A$2),$A$5=""),"",INDEX(DemoHistory[],$A162,MATCH($A$5,DemoHistory[#Headers],0)))</f>
        <v>568.60940000000005</v>
      </c>
      <c r="D162" s="166">
        <f>IF($A162&gt;MIN($A$10,$A$2),"",IF(AND($A$12,$A$6=1,B162&lt;$A$7,$A$7&lt;=MAX(DemoHistory[Date])),$A$8,1))</f>
        <v>1</v>
      </c>
      <c r="E162" s="166">
        <f t="shared" si="3"/>
        <v>568.60940000000005</v>
      </c>
      <c r="F162" s="166">
        <f>IF($A162&gt;MIN($A$10,$A$2),"",IF($A162&lt;50,"n.a.",IF(COUNT(INDEX(StockDaily[Adjusted close],MAX(1,$A162-50+1)):E162)=50,AVERAGE(INDEX(StockDaily[Adjusted close],MAX(1,$A162-50+1)):E162),"n.a.")))</f>
        <v>563.3705359999999</v>
      </c>
      <c r="G162" s="166" t="str">
        <f>IF($A162&gt;MIN($A$10,$A$2),"",IF($A162&lt;200,"n.a.",IF(COUNT(INDEX(StockDaily[Adjusted close],MAX(1,$A162-200+1)):E162)=200,AVERAGE(INDEX(StockDaily[Adjusted close],MAX(1,$A162-200+1)):E162),"n.a.")))</f>
        <v>n.a.</v>
      </c>
      <c r="H162" s="136" t="str">
        <f>IF($A162&gt;MIN($A$10,$A$2),"",IF($A$5="","Choose stock",IF(NOT($A$12),"Check split rule",IF(NOT(ISNUMBER(B162)),"Invalid date",IF(OR(B162&lt;=0,B162&lt;&gt;INT(B162)),"Invalid date",IF(COUNTIFS(DemoHistory[Date],B162)&lt;&gt;1,"Duplicate date",IF(AND($A162&gt;1,B162&lt;=B161),"Dates out of order",IF(NOT(ISNUMBER(C162)),"Missing price",IF(C162&lt;=0,"Nonpositive price","OK")))))))))</f>
        <v>OK</v>
      </c>
      <c r="I162" s="136"/>
      <c r="J162" s="136"/>
      <c r="K162" s="136"/>
      <c r="L162" s="136"/>
      <c r="M162" s="136"/>
      <c r="N162" s="136">
        <f t="shared" si="4"/>
        <v>568.60940000000005</v>
      </c>
      <c r="O162" s="136">
        <f t="shared" si="5"/>
        <v>563.3705359999999</v>
      </c>
    </row>
    <row r="163" spans="1:15" ht="22.05" customHeight="1" x14ac:dyDescent="0.3">
      <c r="A163" s="136">
        <v>119</v>
      </c>
      <c r="B163" s="165">
        <f>IF($A163&gt;MIN($A$10,$A$2),"",INDEX(DemoHistory[Date],$A163))</f>
        <v>46268</v>
      </c>
      <c r="C163" s="166">
        <f>IF(OR($A163&gt;MIN($A$10,$A$2),$A$5=""),"",INDEX(DemoHistory[],$A163,MATCH($A$5,DemoHistory[#Headers],0)))</f>
        <v>569.04150000000004</v>
      </c>
      <c r="D163" s="166">
        <f>IF($A163&gt;MIN($A$10,$A$2),"",IF(AND($A$12,$A$6=1,B163&lt;$A$7,$A$7&lt;=MAX(DemoHistory[Date])),$A$8,1))</f>
        <v>1</v>
      </c>
      <c r="E163" s="166">
        <f t="shared" si="3"/>
        <v>569.04150000000004</v>
      </c>
      <c r="F163" s="166">
        <f>IF($A163&gt;MIN($A$10,$A$2),"",IF($A163&lt;50,"n.a.",IF(COUNT(INDEX(StockDaily[Adjusted close],MAX(1,$A163-50+1)):E163)=50,AVERAGE(INDEX(StockDaily[Adjusted close],MAX(1,$A163-50+1)):E163),"n.a.")))</f>
        <v>563.94606999999985</v>
      </c>
      <c r="G163" s="166" t="str">
        <f>IF($A163&gt;MIN($A$10,$A$2),"",IF($A163&lt;200,"n.a.",IF(COUNT(INDEX(StockDaily[Adjusted close],MAX(1,$A163-200+1)):E163)=200,AVERAGE(INDEX(StockDaily[Adjusted close],MAX(1,$A163-200+1)):E163),"n.a.")))</f>
        <v>n.a.</v>
      </c>
      <c r="H163" s="136" t="str">
        <f>IF($A163&gt;MIN($A$10,$A$2),"",IF($A$5="","Choose stock",IF(NOT($A$12),"Check split rule",IF(NOT(ISNUMBER(B163)),"Invalid date",IF(OR(B163&lt;=0,B163&lt;&gt;INT(B163)),"Invalid date",IF(COUNTIFS(DemoHistory[Date],B163)&lt;&gt;1,"Duplicate date",IF(AND($A163&gt;1,B163&lt;=B162),"Dates out of order",IF(NOT(ISNUMBER(C163)),"Missing price",IF(C163&lt;=0,"Nonpositive price","OK")))))))))</f>
        <v>OK</v>
      </c>
      <c r="I163" s="136"/>
      <c r="J163" s="136"/>
      <c r="K163" s="136"/>
      <c r="L163" s="136"/>
      <c r="M163" s="136"/>
      <c r="N163" s="136">
        <f t="shared" si="4"/>
        <v>569.04150000000004</v>
      </c>
      <c r="O163" s="136">
        <f t="shared" si="5"/>
        <v>563.94606999999985</v>
      </c>
    </row>
    <row r="164" spans="1:15" ht="22.05" customHeight="1" x14ac:dyDescent="0.3">
      <c r="A164" s="136">
        <v>120</v>
      </c>
      <c r="B164" s="165">
        <f>IF($A164&gt;MIN($A$10,$A$2),"",INDEX(DemoHistory[Date],$A164))</f>
        <v>46269</v>
      </c>
      <c r="C164" s="166">
        <f>IF(OR($A164&gt;MIN($A$10,$A$2),$A$5=""),"",INDEX(DemoHistory[],$A164,MATCH($A$5,DemoHistory[#Headers],0)))</f>
        <v>571.2885</v>
      </c>
      <c r="D164" s="166">
        <f>IF($A164&gt;MIN($A$10,$A$2),"",IF(AND($A$12,$A$6=1,B164&lt;$A$7,$A$7&lt;=MAX(DemoHistory[Date])),$A$8,1))</f>
        <v>1</v>
      </c>
      <c r="E164" s="166">
        <f t="shared" si="3"/>
        <v>571.2885</v>
      </c>
      <c r="F164" s="166">
        <f>IF($A164&gt;MIN($A$10,$A$2),"",IF($A164&lt;50,"n.a.",IF(COUNT(INDEX(StockDaily[Adjusted close],MAX(1,$A164-50+1)):E164)=50,AVERAGE(INDEX(StockDaily[Adjusted close],MAX(1,$A164-50+1)):E164),"n.a.")))</f>
        <v>564.41138799999999</v>
      </c>
      <c r="G164" s="166" t="str">
        <f>IF($A164&gt;MIN($A$10,$A$2),"",IF($A164&lt;200,"n.a.",IF(COUNT(INDEX(StockDaily[Adjusted close],MAX(1,$A164-200+1)):E164)=200,AVERAGE(INDEX(StockDaily[Adjusted close],MAX(1,$A164-200+1)):E164),"n.a.")))</f>
        <v>n.a.</v>
      </c>
      <c r="H164" s="136" t="str">
        <f>IF($A164&gt;MIN($A$10,$A$2),"",IF($A$5="","Choose stock",IF(NOT($A$12),"Check split rule",IF(NOT(ISNUMBER(B164)),"Invalid date",IF(OR(B164&lt;=0,B164&lt;&gt;INT(B164)),"Invalid date",IF(COUNTIFS(DemoHistory[Date],B164)&lt;&gt;1,"Duplicate date",IF(AND($A164&gt;1,B164&lt;=B163),"Dates out of order",IF(NOT(ISNUMBER(C164)),"Missing price",IF(C164&lt;=0,"Nonpositive price","OK")))))))))</f>
        <v>OK</v>
      </c>
      <c r="I164" s="136"/>
      <c r="J164" s="136"/>
      <c r="K164" s="136"/>
      <c r="L164" s="136"/>
      <c r="M164" s="136"/>
      <c r="N164" s="136">
        <f t="shared" si="4"/>
        <v>571.2885</v>
      </c>
      <c r="O164" s="136">
        <f t="shared" si="5"/>
        <v>564.41138799999999</v>
      </c>
    </row>
    <row r="165" spans="1:15" ht="22.05" customHeight="1" x14ac:dyDescent="0.3">
      <c r="A165" s="136">
        <v>121</v>
      </c>
      <c r="B165" s="165">
        <f>IF($A165&gt;MIN($A$10,$A$2),"",INDEX(DemoHistory[Date],$A165))</f>
        <v>46272</v>
      </c>
      <c r="C165" s="166">
        <f>IF(OR($A165&gt;MIN($A$10,$A$2),$A$5=""),"",INDEX(DemoHistory[],$A165,MATCH($A$5,DemoHistory[#Headers],0)))</f>
        <v>568.1386</v>
      </c>
      <c r="D165" s="166">
        <f>IF($A165&gt;MIN($A$10,$A$2),"",IF(AND($A$12,$A$6=1,B165&lt;$A$7,$A$7&lt;=MAX(DemoHistory[Date])),$A$8,1))</f>
        <v>1</v>
      </c>
      <c r="E165" s="166">
        <f t="shared" si="3"/>
        <v>568.1386</v>
      </c>
      <c r="F165" s="166">
        <f>IF($A165&gt;MIN($A$10,$A$2),"",IF($A165&lt;50,"n.a.",IF(COUNT(INDEX(StockDaily[Adjusted close],MAX(1,$A165-50+1)):E165)=50,AVERAGE(INDEX(StockDaily[Adjusted close],MAX(1,$A165-50+1)):E165),"n.a.")))</f>
        <v>564.7313459999998</v>
      </c>
      <c r="G165" s="166" t="str">
        <f>IF($A165&gt;MIN($A$10,$A$2),"",IF($A165&lt;200,"n.a.",IF(COUNT(INDEX(StockDaily[Adjusted close],MAX(1,$A165-200+1)):E165)=200,AVERAGE(INDEX(StockDaily[Adjusted close],MAX(1,$A165-200+1)):E165),"n.a.")))</f>
        <v>n.a.</v>
      </c>
      <c r="H165" s="136" t="str">
        <f>IF($A165&gt;MIN($A$10,$A$2),"",IF($A$5="","Choose stock",IF(NOT($A$12),"Check split rule",IF(NOT(ISNUMBER(B165)),"Invalid date",IF(OR(B165&lt;=0,B165&lt;&gt;INT(B165)),"Invalid date",IF(COUNTIFS(DemoHistory[Date],B165)&lt;&gt;1,"Duplicate date",IF(AND($A165&gt;1,B165&lt;=B164),"Dates out of order",IF(NOT(ISNUMBER(C165)),"Missing price",IF(C165&lt;=0,"Nonpositive price","OK")))))))))</f>
        <v>OK</v>
      </c>
      <c r="I165" s="136"/>
      <c r="J165" s="136"/>
      <c r="K165" s="136"/>
      <c r="L165" s="136"/>
      <c r="M165" s="136"/>
      <c r="N165" s="136">
        <f t="shared" si="4"/>
        <v>568.1386</v>
      </c>
      <c r="O165" s="136">
        <f t="shared" si="5"/>
        <v>564.7313459999998</v>
      </c>
    </row>
    <row r="166" spans="1:15" ht="22.05" customHeight="1" x14ac:dyDescent="0.3">
      <c r="A166" s="136">
        <v>122</v>
      </c>
      <c r="B166" s="165">
        <f>IF($A166&gt;MIN($A$10,$A$2),"",INDEX(DemoHistory[Date],$A166))</f>
        <v>46273</v>
      </c>
      <c r="C166" s="166">
        <f>IF(OR($A166&gt;MIN($A$10,$A$2),$A$5=""),"",INDEX(DemoHistory[],$A166,MATCH($A$5,DemoHistory[#Headers],0)))</f>
        <v>562.39089999999999</v>
      </c>
      <c r="D166" s="166">
        <f>IF($A166&gt;MIN($A$10,$A$2),"",IF(AND($A$12,$A$6=1,B166&lt;$A$7,$A$7&lt;=MAX(DemoHistory[Date])),$A$8,1))</f>
        <v>1</v>
      </c>
      <c r="E166" s="166">
        <f t="shared" si="3"/>
        <v>562.39089999999999</v>
      </c>
      <c r="F166" s="166">
        <f>IF($A166&gt;MIN($A$10,$A$2),"",IF($A166&lt;50,"n.a.",IF(COUNT(INDEX(StockDaily[Adjusted close],MAX(1,$A166-50+1)):E166)=50,AVERAGE(INDEX(StockDaily[Adjusted close],MAX(1,$A166-50+1)):E166),"n.a.")))</f>
        <v>564.91514999999981</v>
      </c>
      <c r="G166" s="166" t="str">
        <f>IF($A166&gt;MIN($A$10,$A$2),"",IF($A166&lt;200,"n.a.",IF(COUNT(INDEX(StockDaily[Adjusted close],MAX(1,$A166-200+1)):E166)=200,AVERAGE(INDEX(StockDaily[Adjusted close],MAX(1,$A166-200+1)):E166),"n.a.")))</f>
        <v>n.a.</v>
      </c>
      <c r="H166" s="136" t="str">
        <f>IF($A166&gt;MIN($A$10,$A$2),"",IF($A$5="","Choose stock",IF(NOT($A$12),"Check split rule",IF(NOT(ISNUMBER(B166)),"Invalid date",IF(OR(B166&lt;=0,B166&lt;&gt;INT(B166)),"Invalid date",IF(COUNTIFS(DemoHistory[Date],B166)&lt;&gt;1,"Duplicate date",IF(AND($A166&gt;1,B166&lt;=B165),"Dates out of order",IF(NOT(ISNUMBER(C166)),"Missing price",IF(C166&lt;=0,"Nonpositive price","OK")))))))))</f>
        <v>OK</v>
      </c>
      <c r="I166" s="136"/>
      <c r="J166" s="136"/>
      <c r="K166" s="136"/>
      <c r="L166" s="136"/>
      <c r="M166" s="136"/>
      <c r="N166" s="136">
        <f t="shared" si="4"/>
        <v>562.39089999999999</v>
      </c>
      <c r="O166" s="136">
        <f t="shared" si="5"/>
        <v>564.91514999999981</v>
      </c>
    </row>
    <row r="167" spans="1:15" ht="22.05" customHeight="1" x14ac:dyDescent="0.3">
      <c r="A167" s="136">
        <v>123</v>
      </c>
      <c r="B167" s="165">
        <f>IF($A167&gt;MIN($A$10,$A$2),"",INDEX(DemoHistory[Date],$A167))</f>
        <v>46274</v>
      </c>
      <c r="C167" s="166">
        <f>IF(OR($A167&gt;MIN($A$10,$A$2),$A$5=""),"",INDEX(DemoHistory[],$A167,MATCH($A$5,DemoHistory[#Headers],0)))</f>
        <v>568.76369999999997</v>
      </c>
      <c r="D167" s="166">
        <f>IF($A167&gt;MIN($A$10,$A$2),"",IF(AND($A$12,$A$6=1,B167&lt;$A$7,$A$7&lt;=MAX(DemoHistory[Date])),$A$8,1))</f>
        <v>1</v>
      </c>
      <c r="E167" s="166">
        <f t="shared" si="3"/>
        <v>568.76369999999997</v>
      </c>
      <c r="F167" s="166">
        <f>IF($A167&gt;MIN($A$10,$A$2),"",IF($A167&lt;50,"n.a.",IF(COUNT(INDEX(StockDaily[Adjusted close],MAX(1,$A167-50+1)):E167)=50,AVERAGE(INDEX(StockDaily[Adjusted close],MAX(1,$A167-50+1)):E167),"n.a.")))</f>
        <v>565.14146399999981</v>
      </c>
      <c r="G167" s="166" t="str">
        <f>IF($A167&gt;MIN($A$10,$A$2),"",IF($A167&lt;200,"n.a.",IF(COUNT(INDEX(StockDaily[Adjusted close],MAX(1,$A167-200+1)):E167)=200,AVERAGE(INDEX(StockDaily[Adjusted close],MAX(1,$A167-200+1)):E167),"n.a.")))</f>
        <v>n.a.</v>
      </c>
      <c r="H167" s="136" t="str">
        <f>IF($A167&gt;MIN($A$10,$A$2),"",IF($A$5="","Choose stock",IF(NOT($A$12),"Check split rule",IF(NOT(ISNUMBER(B167)),"Invalid date",IF(OR(B167&lt;=0,B167&lt;&gt;INT(B167)),"Invalid date",IF(COUNTIFS(DemoHistory[Date],B167)&lt;&gt;1,"Duplicate date",IF(AND($A167&gt;1,B167&lt;=B166),"Dates out of order",IF(NOT(ISNUMBER(C167)),"Missing price",IF(C167&lt;=0,"Nonpositive price","OK")))))))))</f>
        <v>OK</v>
      </c>
      <c r="I167" s="136"/>
      <c r="J167" s="136"/>
      <c r="K167" s="136"/>
      <c r="L167" s="136"/>
      <c r="M167" s="136"/>
      <c r="N167" s="136">
        <f t="shared" si="4"/>
        <v>568.76369999999997</v>
      </c>
      <c r="O167" s="136">
        <f t="shared" si="5"/>
        <v>565.14146399999981</v>
      </c>
    </row>
    <row r="168" spans="1:15" ht="22.05" customHeight="1" x14ac:dyDescent="0.3">
      <c r="A168" s="136">
        <v>124</v>
      </c>
      <c r="B168" s="165">
        <f>IF($A168&gt;MIN($A$10,$A$2),"",INDEX(DemoHistory[Date],$A168))</f>
        <v>46275</v>
      </c>
      <c r="C168" s="166">
        <f>IF(OR($A168&gt;MIN($A$10,$A$2),$A$5=""),"",INDEX(DemoHistory[],$A168,MATCH($A$5,DemoHistory[#Headers],0)))</f>
        <v>565.03240000000005</v>
      </c>
      <c r="D168" s="166">
        <f>IF($A168&gt;MIN($A$10,$A$2),"",IF(AND($A$12,$A$6=1,B168&lt;$A$7,$A$7&lt;=MAX(DemoHistory[Date])),$A$8,1))</f>
        <v>1</v>
      </c>
      <c r="E168" s="166">
        <f t="shared" si="3"/>
        <v>565.03240000000005</v>
      </c>
      <c r="F168" s="166">
        <f>IF($A168&gt;MIN($A$10,$A$2),"",IF($A168&lt;50,"n.a.",IF(COUNT(INDEX(StockDaily[Adjusted close],MAX(1,$A168-50+1)):E168)=50,AVERAGE(INDEX(StockDaily[Adjusted close],MAX(1,$A168-50+1)):E168),"n.a.")))</f>
        <v>565.55391199999974</v>
      </c>
      <c r="G168" s="166" t="str">
        <f>IF($A168&gt;MIN($A$10,$A$2),"",IF($A168&lt;200,"n.a.",IF(COUNT(INDEX(StockDaily[Adjusted close],MAX(1,$A168-200+1)):E168)=200,AVERAGE(INDEX(StockDaily[Adjusted close],MAX(1,$A168-200+1)):E168),"n.a.")))</f>
        <v>n.a.</v>
      </c>
      <c r="H168" s="136" t="str">
        <f>IF($A168&gt;MIN($A$10,$A$2),"",IF($A$5="","Choose stock",IF(NOT($A$12),"Check split rule",IF(NOT(ISNUMBER(B168)),"Invalid date",IF(OR(B168&lt;=0,B168&lt;&gt;INT(B168)),"Invalid date",IF(COUNTIFS(DemoHistory[Date],B168)&lt;&gt;1,"Duplicate date",IF(AND($A168&gt;1,B168&lt;=B167),"Dates out of order",IF(NOT(ISNUMBER(C168)),"Missing price",IF(C168&lt;=0,"Nonpositive price","OK")))))))))</f>
        <v>OK</v>
      </c>
      <c r="I168" s="136"/>
      <c r="J168" s="136"/>
      <c r="K168" s="136"/>
      <c r="L168" s="136"/>
      <c r="M168" s="136"/>
      <c r="N168" s="136">
        <f t="shared" si="4"/>
        <v>565.03240000000005</v>
      </c>
      <c r="O168" s="136">
        <f t="shared" si="5"/>
        <v>565.55391199999974</v>
      </c>
    </row>
    <row r="169" spans="1:15" ht="22.05" customHeight="1" x14ac:dyDescent="0.3">
      <c r="A169" s="136">
        <v>125</v>
      </c>
      <c r="B169" s="165">
        <f>IF($A169&gt;MIN($A$10,$A$2),"",INDEX(DemoHistory[Date],$A169))</f>
        <v>46276</v>
      </c>
      <c r="C169" s="166">
        <f>IF(OR($A169&gt;MIN($A$10,$A$2),$A$5=""),"",INDEX(DemoHistory[],$A169,MATCH($A$5,DemoHistory[#Headers],0)))</f>
        <v>567.66480000000001</v>
      </c>
      <c r="D169" s="166">
        <f>IF($A169&gt;MIN($A$10,$A$2),"",IF(AND($A$12,$A$6=1,B169&lt;$A$7,$A$7&lt;=MAX(DemoHistory[Date])),$A$8,1))</f>
        <v>1</v>
      </c>
      <c r="E169" s="166">
        <f t="shared" si="3"/>
        <v>567.66480000000001</v>
      </c>
      <c r="F169" s="166">
        <f>IF($A169&gt;MIN($A$10,$A$2),"",IF($A169&lt;50,"n.a.",IF(COUNT(INDEX(StockDaily[Adjusted close],MAX(1,$A169-50+1)):E169)=50,AVERAGE(INDEX(StockDaily[Adjusted close],MAX(1,$A169-50+1)):E169),"n.a.")))</f>
        <v>565.93376599999976</v>
      </c>
      <c r="G169" s="166" t="str">
        <f>IF($A169&gt;MIN($A$10,$A$2),"",IF($A169&lt;200,"n.a.",IF(COUNT(INDEX(StockDaily[Adjusted close],MAX(1,$A169-200+1)):E169)=200,AVERAGE(INDEX(StockDaily[Adjusted close],MAX(1,$A169-200+1)):E169),"n.a.")))</f>
        <v>n.a.</v>
      </c>
      <c r="H169" s="136" t="str">
        <f>IF($A169&gt;MIN($A$10,$A$2),"",IF($A$5="","Choose stock",IF(NOT($A$12),"Check split rule",IF(NOT(ISNUMBER(B169)),"Invalid date",IF(OR(B169&lt;=0,B169&lt;&gt;INT(B169)),"Invalid date",IF(COUNTIFS(DemoHistory[Date],B169)&lt;&gt;1,"Duplicate date",IF(AND($A169&gt;1,B169&lt;=B168),"Dates out of order",IF(NOT(ISNUMBER(C169)),"Missing price",IF(C169&lt;=0,"Nonpositive price","OK")))))))))</f>
        <v>OK</v>
      </c>
      <c r="I169" s="136"/>
      <c r="J169" s="136"/>
      <c r="K169" s="136"/>
      <c r="L169" s="136"/>
      <c r="M169" s="136"/>
      <c r="N169" s="136">
        <f t="shared" si="4"/>
        <v>567.66480000000001</v>
      </c>
      <c r="O169" s="136">
        <f t="shared" si="5"/>
        <v>565.93376599999976</v>
      </c>
    </row>
    <row r="170" spans="1:15" ht="22.05" customHeight="1" x14ac:dyDescent="0.3">
      <c r="A170" s="136">
        <v>126</v>
      </c>
      <c r="B170" s="165">
        <f>IF($A170&gt;MIN($A$10,$A$2),"",INDEX(DemoHistory[Date],$A170))</f>
        <v>46279</v>
      </c>
      <c r="C170" s="166">
        <f>IF(OR($A170&gt;MIN($A$10,$A$2),$A$5=""),"",INDEX(DemoHistory[],$A170,MATCH($A$5,DemoHistory[#Headers],0)))</f>
        <v>555.49540000000002</v>
      </c>
      <c r="D170" s="166">
        <f>IF($A170&gt;MIN($A$10,$A$2),"",IF(AND($A$12,$A$6=1,B170&lt;$A$7,$A$7&lt;=MAX(DemoHistory[Date])),$A$8,1))</f>
        <v>1</v>
      </c>
      <c r="E170" s="166">
        <f t="shared" si="3"/>
        <v>555.49540000000002</v>
      </c>
      <c r="F170" s="166">
        <f>IF($A170&gt;MIN($A$10,$A$2),"",IF($A170&lt;50,"n.a.",IF(COUNT(INDEX(StockDaily[Adjusted close],MAX(1,$A170-50+1)):E170)=50,AVERAGE(INDEX(StockDaily[Adjusted close],MAX(1,$A170-50+1)):E170),"n.a.")))</f>
        <v>566.11546199999975</v>
      </c>
      <c r="G170" s="166" t="str">
        <f>IF($A170&gt;MIN($A$10,$A$2),"",IF($A170&lt;200,"n.a.",IF(COUNT(INDEX(StockDaily[Adjusted close],MAX(1,$A170-200+1)):E170)=200,AVERAGE(INDEX(StockDaily[Adjusted close],MAX(1,$A170-200+1)):E170),"n.a.")))</f>
        <v>n.a.</v>
      </c>
      <c r="H170" s="136" t="str">
        <f>IF($A170&gt;MIN($A$10,$A$2),"",IF($A$5="","Choose stock",IF(NOT($A$12),"Check split rule",IF(NOT(ISNUMBER(B170)),"Invalid date",IF(OR(B170&lt;=0,B170&lt;&gt;INT(B170)),"Invalid date",IF(COUNTIFS(DemoHistory[Date],B170)&lt;&gt;1,"Duplicate date",IF(AND($A170&gt;1,B170&lt;=B169),"Dates out of order",IF(NOT(ISNUMBER(C170)),"Missing price",IF(C170&lt;=0,"Nonpositive price","OK")))))))))</f>
        <v>OK</v>
      </c>
      <c r="I170" s="136"/>
      <c r="J170" s="136"/>
      <c r="K170" s="136"/>
      <c r="L170" s="136"/>
      <c r="M170" s="136"/>
      <c r="N170" s="136">
        <f t="shared" si="4"/>
        <v>555.49540000000002</v>
      </c>
      <c r="O170" s="136">
        <f t="shared" si="5"/>
        <v>566.11546199999975</v>
      </c>
    </row>
    <row r="171" spans="1:15" ht="22.05" customHeight="1" x14ac:dyDescent="0.3">
      <c r="A171" s="136">
        <v>127</v>
      </c>
      <c r="B171" s="165">
        <f>IF($A171&gt;MIN($A$10,$A$2),"",INDEX(DemoHistory[Date],$A171))</f>
        <v>46280</v>
      </c>
      <c r="C171" s="166">
        <f>IF(OR($A171&gt;MIN($A$10,$A$2),$A$5=""),"",INDEX(DemoHistory[],$A171,MATCH($A$5,DemoHistory[#Headers],0)))</f>
        <v>555.51800000000003</v>
      </c>
      <c r="D171" s="166">
        <f>IF($A171&gt;MIN($A$10,$A$2),"",IF(AND($A$12,$A$6=1,B171&lt;$A$7,$A$7&lt;=MAX(DemoHistory[Date])),$A$8,1))</f>
        <v>1</v>
      </c>
      <c r="E171" s="166">
        <f t="shared" si="3"/>
        <v>555.51800000000003</v>
      </c>
      <c r="F171" s="166">
        <f>IF($A171&gt;MIN($A$10,$A$2),"",IF($A171&lt;50,"n.a.",IF(COUNT(INDEX(StockDaily[Adjusted close],MAX(1,$A171-50+1)):E171)=50,AVERAGE(INDEX(StockDaily[Adjusted close],MAX(1,$A171-50+1)):E171),"n.a.")))</f>
        <v>566.2344559999998</v>
      </c>
      <c r="G171" s="166" t="str">
        <f>IF($A171&gt;MIN($A$10,$A$2),"",IF($A171&lt;200,"n.a.",IF(COUNT(INDEX(StockDaily[Adjusted close],MAX(1,$A171-200+1)):E171)=200,AVERAGE(INDEX(StockDaily[Adjusted close],MAX(1,$A171-200+1)):E171),"n.a.")))</f>
        <v>n.a.</v>
      </c>
      <c r="H171" s="136" t="str">
        <f>IF($A171&gt;MIN($A$10,$A$2),"",IF($A$5="","Choose stock",IF(NOT($A$12),"Check split rule",IF(NOT(ISNUMBER(B171)),"Invalid date",IF(OR(B171&lt;=0,B171&lt;&gt;INT(B171)),"Invalid date",IF(COUNTIFS(DemoHistory[Date],B171)&lt;&gt;1,"Duplicate date",IF(AND($A171&gt;1,B171&lt;=B170),"Dates out of order",IF(NOT(ISNUMBER(C171)),"Missing price",IF(C171&lt;=0,"Nonpositive price","OK")))))))))</f>
        <v>OK</v>
      </c>
      <c r="I171" s="136"/>
      <c r="J171" s="136"/>
      <c r="K171" s="136"/>
      <c r="L171" s="136"/>
      <c r="M171" s="136"/>
      <c r="N171" s="136">
        <f t="shared" si="4"/>
        <v>555.51800000000003</v>
      </c>
      <c r="O171" s="136">
        <f t="shared" si="5"/>
        <v>566.2344559999998</v>
      </c>
    </row>
    <row r="172" spans="1:15" ht="22.05" customHeight="1" x14ac:dyDescent="0.3">
      <c r="A172" s="136">
        <v>128</v>
      </c>
      <c r="B172" s="165">
        <f>IF($A172&gt;MIN($A$10,$A$2),"",INDEX(DemoHistory[Date],$A172))</f>
        <v>46281</v>
      </c>
      <c r="C172" s="166">
        <f>IF(OR($A172&gt;MIN($A$10,$A$2),$A$5=""),"",INDEX(DemoHistory[],$A172,MATCH($A$5,DemoHistory[#Headers],0)))</f>
        <v>554.35239999999999</v>
      </c>
      <c r="D172" s="166">
        <f>IF($A172&gt;MIN($A$10,$A$2),"",IF(AND($A$12,$A$6=1,B172&lt;$A$7,$A$7&lt;=MAX(DemoHistory[Date])),$A$8,1))</f>
        <v>1</v>
      </c>
      <c r="E172" s="166">
        <f t="shared" si="3"/>
        <v>554.35239999999999</v>
      </c>
      <c r="F172" s="166">
        <f>IF($A172&gt;MIN($A$10,$A$2),"",IF($A172&lt;50,"n.a.",IF(COUNT(INDEX(StockDaily[Adjusted close],MAX(1,$A172-50+1)):E172)=50,AVERAGE(INDEX(StockDaily[Adjusted close],MAX(1,$A172-50+1)):E172),"n.a.")))</f>
        <v>566.17815799999971</v>
      </c>
      <c r="G172" s="166" t="str">
        <f>IF($A172&gt;MIN($A$10,$A$2),"",IF($A172&lt;200,"n.a.",IF(COUNT(INDEX(StockDaily[Adjusted close],MAX(1,$A172-200+1)):E172)=200,AVERAGE(INDEX(StockDaily[Adjusted close],MAX(1,$A172-200+1)):E172),"n.a.")))</f>
        <v>n.a.</v>
      </c>
      <c r="H172" s="136" t="str">
        <f>IF($A172&gt;MIN($A$10,$A$2),"",IF($A$5="","Choose stock",IF(NOT($A$12),"Check split rule",IF(NOT(ISNUMBER(B172)),"Invalid date",IF(OR(B172&lt;=0,B172&lt;&gt;INT(B172)),"Invalid date",IF(COUNTIFS(DemoHistory[Date],B172)&lt;&gt;1,"Duplicate date",IF(AND($A172&gt;1,B172&lt;=B171),"Dates out of order",IF(NOT(ISNUMBER(C172)),"Missing price",IF(C172&lt;=0,"Nonpositive price","OK")))))))))</f>
        <v>OK</v>
      </c>
      <c r="I172" s="136"/>
      <c r="J172" s="136"/>
      <c r="K172" s="136"/>
      <c r="L172" s="136"/>
      <c r="M172" s="136"/>
      <c r="N172" s="136">
        <f t="shared" si="4"/>
        <v>554.35239999999999</v>
      </c>
      <c r="O172" s="136">
        <f t="shared" si="5"/>
        <v>566.17815799999971</v>
      </c>
    </row>
    <row r="173" spans="1:15" ht="22.05" customHeight="1" x14ac:dyDescent="0.3">
      <c r="A173" s="136">
        <v>129</v>
      </c>
      <c r="B173" s="165">
        <f>IF($A173&gt;MIN($A$10,$A$2),"",INDEX(DemoHistory[Date],$A173))</f>
        <v>46282</v>
      </c>
      <c r="C173" s="166">
        <f>IF(OR($A173&gt;MIN($A$10,$A$2),$A$5=""),"",INDEX(DemoHistory[],$A173,MATCH($A$5,DemoHistory[#Headers],0)))</f>
        <v>553.55340000000001</v>
      </c>
      <c r="D173" s="166">
        <f>IF($A173&gt;MIN($A$10,$A$2),"",IF(AND($A$12,$A$6=1,B173&lt;$A$7,$A$7&lt;=MAX(DemoHistory[Date])),$A$8,1))</f>
        <v>1</v>
      </c>
      <c r="E173" s="166">
        <f t="shared" ref="E173:E236" si="6">IF($A173&gt;MIN($A$10,$A$2),"",IF(H173="OK",C173/D173,"n.a."))</f>
        <v>553.55340000000001</v>
      </c>
      <c r="F173" s="166">
        <f>IF($A173&gt;MIN($A$10,$A$2),"",IF($A173&lt;50,"n.a.",IF(COUNT(INDEX(StockDaily[Adjusted close],MAX(1,$A173-50+1)):E173)=50,AVERAGE(INDEX(StockDaily[Adjusted close],MAX(1,$A173-50+1)):E173),"n.a.")))</f>
        <v>566.02936799999986</v>
      </c>
      <c r="G173" s="166" t="str">
        <f>IF($A173&gt;MIN($A$10,$A$2),"",IF($A173&lt;200,"n.a.",IF(COUNT(INDEX(StockDaily[Adjusted close],MAX(1,$A173-200+1)):E173)=200,AVERAGE(INDEX(StockDaily[Adjusted close],MAX(1,$A173-200+1)):E173),"n.a.")))</f>
        <v>n.a.</v>
      </c>
      <c r="H173" s="136" t="str">
        <f>IF($A173&gt;MIN($A$10,$A$2),"",IF($A$5="","Choose stock",IF(NOT($A$12),"Check split rule",IF(NOT(ISNUMBER(B173)),"Invalid date",IF(OR(B173&lt;=0,B173&lt;&gt;INT(B173)),"Invalid date",IF(COUNTIFS(DemoHistory[Date],B173)&lt;&gt;1,"Duplicate date",IF(AND($A173&gt;1,B173&lt;=B172),"Dates out of order",IF(NOT(ISNUMBER(C173)),"Missing price",IF(C173&lt;=0,"Nonpositive price","OK")))))))))</f>
        <v>OK</v>
      </c>
      <c r="I173" s="136"/>
      <c r="J173" s="136"/>
      <c r="K173" s="136"/>
      <c r="L173" s="136"/>
      <c r="M173" s="136"/>
      <c r="N173" s="136">
        <f t="shared" ref="N173:N236" si="7">IF(AND($A$13="Ready",ISNUMBER(E173)),E173,NA())</f>
        <v>553.55340000000001</v>
      </c>
      <c r="O173" s="136">
        <f t="shared" ref="O173:O236" si="8">IF(AND($A$13="Ready",ISNUMBER(F173)),F173,NA())</f>
        <v>566.02936799999986</v>
      </c>
    </row>
    <row r="174" spans="1:15" ht="22.05" customHeight="1" x14ac:dyDescent="0.3">
      <c r="A174" s="136">
        <v>130</v>
      </c>
      <c r="B174" s="165">
        <f>IF($A174&gt;MIN($A$10,$A$2),"",INDEX(DemoHistory[Date],$A174))</f>
        <v>46283</v>
      </c>
      <c r="C174" s="166">
        <f>IF(OR($A174&gt;MIN($A$10,$A$2),$A$5=""),"",INDEX(DemoHistory[],$A174,MATCH($A$5,DemoHistory[#Headers],0)))</f>
        <v>547.4307</v>
      </c>
      <c r="D174" s="166">
        <f>IF($A174&gt;MIN($A$10,$A$2),"",IF(AND($A$12,$A$6=1,B174&lt;$A$7,$A$7&lt;=MAX(DemoHistory[Date])),$A$8,1))</f>
        <v>1</v>
      </c>
      <c r="E174" s="166">
        <f t="shared" si="6"/>
        <v>547.4307</v>
      </c>
      <c r="F174" s="166">
        <f>IF($A174&gt;MIN($A$10,$A$2),"",IF($A174&lt;50,"n.a.",IF(COUNT(INDEX(StockDaily[Adjusted close],MAX(1,$A174-50+1)):E174)=50,AVERAGE(INDEX(StockDaily[Adjusted close],MAX(1,$A174-50+1)):E174),"n.a.")))</f>
        <v>565.72541199999989</v>
      </c>
      <c r="G174" s="166" t="str">
        <f>IF($A174&gt;MIN($A$10,$A$2),"",IF($A174&lt;200,"n.a.",IF(COUNT(INDEX(StockDaily[Adjusted close],MAX(1,$A174-200+1)):E174)=200,AVERAGE(INDEX(StockDaily[Adjusted close],MAX(1,$A174-200+1)):E174),"n.a.")))</f>
        <v>n.a.</v>
      </c>
      <c r="H174" s="136" t="str">
        <f>IF($A174&gt;MIN($A$10,$A$2),"",IF($A$5="","Choose stock",IF(NOT($A$12),"Check split rule",IF(NOT(ISNUMBER(B174)),"Invalid date",IF(OR(B174&lt;=0,B174&lt;&gt;INT(B174)),"Invalid date",IF(COUNTIFS(DemoHistory[Date],B174)&lt;&gt;1,"Duplicate date",IF(AND($A174&gt;1,B174&lt;=B173),"Dates out of order",IF(NOT(ISNUMBER(C174)),"Missing price",IF(C174&lt;=0,"Nonpositive price","OK")))))))))</f>
        <v>OK</v>
      </c>
      <c r="I174" s="136"/>
      <c r="J174" s="136"/>
      <c r="K174" s="136"/>
      <c r="L174" s="136"/>
      <c r="M174" s="136"/>
      <c r="N174" s="136">
        <f t="shared" si="7"/>
        <v>547.4307</v>
      </c>
      <c r="O174" s="136">
        <f t="shared" si="8"/>
        <v>565.72541199999989</v>
      </c>
    </row>
    <row r="175" spans="1:15" ht="22.05" customHeight="1" x14ac:dyDescent="0.3">
      <c r="A175" s="136">
        <v>131</v>
      </c>
      <c r="B175" s="165" t="str">
        <f>IF($A175&gt;MIN($A$10,$A$2),"",INDEX(DemoHistory[Date],$A175))</f>
        <v/>
      </c>
      <c r="C175" s="166" t="str">
        <f>IF(OR($A175&gt;MIN($A$10,$A$2),$A$5=""),"",INDEX(DemoHistory[],$A175,MATCH($A$5,DemoHistory[#Headers],0)))</f>
        <v/>
      </c>
      <c r="D175" s="166" t="str">
        <f>IF($A175&gt;MIN($A$10,$A$2),"",IF(AND($A$12,$A$6=1,B175&lt;$A$7,$A$7&lt;=MAX(DemoHistory[Date])),$A$8,1))</f>
        <v/>
      </c>
      <c r="E175" s="166" t="str">
        <f t="shared" si="6"/>
        <v/>
      </c>
      <c r="F175" s="166" t="str">
        <f>IF($A175&gt;MIN($A$10,$A$2),"",IF($A175&lt;50,"n.a.",IF(COUNT(INDEX(StockDaily[Adjusted close],MAX(1,$A175-50+1)):E175)=50,AVERAGE(INDEX(StockDaily[Adjusted close],MAX(1,$A175-50+1)):E175),"n.a.")))</f>
        <v/>
      </c>
      <c r="G175" s="166" t="str">
        <f>IF($A175&gt;MIN($A$10,$A$2),"",IF($A175&lt;200,"n.a.",IF(COUNT(INDEX(StockDaily[Adjusted close],MAX(1,$A175-200+1)):E175)=200,AVERAGE(INDEX(StockDaily[Adjusted close],MAX(1,$A175-200+1)):E175),"n.a.")))</f>
        <v/>
      </c>
      <c r="H175" s="136" t="str">
        <f>IF($A175&gt;MIN($A$10,$A$2),"",IF($A$5="","Choose stock",IF(NOT($A$12),"Check split rule",IF(NOT(ISNUMBER(B175)),"Invalid date",IF(OR(B175&lt;=0,B175&lt;&gt;INT(B175)),"Invalid date",IF(COUNTIFS(DemoHistory[Date],B175)&lt;&gt;1,"Duplicate date",IF(AND($A175&gt;1,B175&lt;=B174),"Dates out of order",IF(NOT(ISNUMBER(C175)),"Missing price",IF(C175&lt;=0,"Nonpositive price","OK")))))))))</f>
        <v/>
      </c>
      <c r="I175" s="136"/>
      <c r="J175" s="136"/>
      <c r="K175" s="136"/>
      <c r="L175" s="136"/>
      <c r="M175" s="136"/>
      <c r="N175" s="136" t="e">
        <f t="shared" si="7"/>
        <v>#N/A</v>
      </c>
      <c r="O175" s="136" t="e">
        <f t="shared" si="8"/>
        <v>#N/A</v>
      </c>
    </row>
    <row r="176" spans="1:15" ht="22.05" customHeight="1" x14ac:dyDescent="0.3">
      <c r="A176" s="136">
        <v>132</v>
      </c>
      <c r="B176" s="165" t="str">
        <f>IF($A176&gt;MIN($A$10,$A$2),"",INDEX(DemoHistory[Date],$A176))</f>
        <v/>
      </c>
      <c r="C176" s="166" t="str">
        <f>IF(OR($A176&gt;MIN($A$10,$A$2),$A$5=""),"",INDEX(DemoHistory[],$A176,MATCH($A$5,DemoHistory[#Headers],0)))</f>
        <v/>
      </c>
      <c r="D176" s="166" t="str">
        <f>IF($A176&gt;MIN($A$10,$A$2),"",IF(AND($A$12,$A$6=1,B176&lt;$A$7,$A$7&lt;=MAX(DemoHistory[Date])),$A$8,1))</f>
        <v/>
      </c>
      <c r="E176" s="166" t="str">
        <f t="shared" si="6"/>
        <v/>
      </c>
      <c r="F176" s="166" t="str">
        <f>IF($A176&gt;MIN($A$10,$A$2),"",IF($A176&lt;50,"n.a.",IF(COUNT(INDEX(StockDaily[Adjusted close],MAX(1,$A176-50+1)):E176)=50,AVERAGE(INDEX(StockDaily[Adjusted close],MAX(1,$A176-50+1)):E176),"n.a.")))</f>
        <v/>
      </c>
      <c r="G176" s="166" t="str">
        <f>IF($A176&gt;MIN($A$10,$A$2),"",IF($A176&lt;200,"n.a.",IF(COUNT(INDEX(StockDaily[Adjusted close],MAX(1,$A176-200+1)):E176)=200,AVERAGE(INDEX(StockDaily[Adjusted close],MAX(1,$A176-200+1)):E176),"n.a.")))</f>
        <v/>
      </c>
      <c r="H176" s="136" t="str">
        <f>IF($A176&gt;MIN($A$10,$A$2),"",IF($A$5="","Choose stock",IF(NOT($A$12),"Check split rule",IF(NOT(ISNUMBER(B176)),"Invalid date",IF(OR(B176&lt;=0,B176&lt;&gt;INT(B176)),"Invalid date",IF(COUNTIFS(DemoHistory[Date],B176)&lt;&gt;1,"Duplicate date",IF(AND($A176&gt;1,B176&lt;=B175),"Dates out of order",IF(NOT(ISNUMBER(C176)),"Missing price",IF(C176&lt;=0,"Nonpositive price","OK")))))))))</f>
        <v/>
      </c>
      <c r="I176" s="136"/>
      <c r="J176" s="136"/>
      <c r="K176" s="136"/>
      <c r="L176" s="136"/>
      <c r="M176" s="136"/>
      <c r="N176" s="136" t="e">
        <f t="shared" si="7"/>
        <v>#N/A</v>
      </c>
      <c r="O176" s="136" t="e">
        <f t="shared" si="8"/>
        <v>#N/A</v>
      </c>
    </row>
    <row r="177" spans="1:15" ht="22.05" customHeight="1" x14ac:dyDescent="0.3">
      <c r="A177" s="136">
        <v>133</v>
      </c>
      <c r="B177" s="165" t="str">
        <f>IF($A177&gt;MIN($A$10,$A$2),"",INDEX(DemoHistory[Date],$A177))</f>
        <v/>
      </c>
      <c r="C177" s="166" t="str">
        <f>IF(OR($A177&gt;MIN($A$10,$A$2),$A$5=""),"",INDEX(DemoHistory[],$A177,MATCH($A$5,DemoHistory[#Headers],0)))</f>
        <v/>
      </c>
      <c r="D177" s="166" t="str">
        <f>IF($A177&gt;MIN($A$10,$A$2),"",IF(AND($A$12,$A$6=1,B177&lt;$A$7,$A$7&lt;=MAX(DemoHistory[Date])),$A$8,1))</f>
        <v/>
      </c>
      <c r="E177" s="166" t="str">
        <f t="shared" si="6"/>
        <v/>
      </c>
      <c r="F177" s="166" t="str">
        <f>IF($A177&gt;MIN($A$10,$A$2),"",IF($A177&lt;50,"n.a.",IF(COUNT(INDEX(StockDaily[Adjusted close],MAX(1,$A177-50+1)):E177)=50,AVERAGE(INDEX(StockDaily[Adjusted close],MAX(1,$A177-50+1)):E177),"n.a.")))</f>
        <v/>
      </c>
      <c r="G177" s="166" t="str">
        <f>IF($A177&gt;MIN($A$10,$A$2),"",IF($A177&lt;200,"n.a.",IF(COUNT(INDEX(StockDaily[Adjusted close],MAX(1,$A177-200+1)):E177)=200,AVERAGE(INDEX(StockDaily[Adjusted close],MAX(1,$A177-200+1)):E177),"n.a.")))</f>
        <v/>
      </c>
      <c r="H177" s="136" t="str">
        <f>IF($A177&gt;MIN($A$10,$A$2),"",IF($A$5="","Choose stock",IF(NOT($A$12),"Check split rule",IF(NOT(ISNUMBER(B177)),"Invalid date",IF(OR(B177&lt;=0,B177&lt;&gt;INT(B177)),"Invalid date",IF(COUNTIFS(DemoHistory[Date],B177)&lt;&gt;1,"Duplicate date",IF(AND($A177&gt;1,B177&lt;=B176),"Dates out of order",IF(NOT(ISNUMBER(C177)),"Missing price",IF(C177&lt;=0,"Nonpositive price","OK")))))))))</f>
        <v/>
      </c>
      <c r="I177" s="136"/>
      <c r="J177" s="136"/>
      <c r="K177" s="136"/>
      <c r="L177" s="136"/>
      <c r="M177" s="136"/>
      <c r="N177" s="136" t="e">
        <f t="shared" si="7"/>
        <v>#N/A</v>
      </c>
      <c r="O177" s="136" t="e">
        <f t="shared" si="8"/>
        <v>#N/A</v>
      </c>
    </row>
    <row r="178" spans="1:15" ht="22.05" customHeight="1" x14ac:dyDescent="0.3">
      <c r="A178" s="136">
        <v>134</v>
      </c>
      <c r="B178" s="165" t="str">
        <f>IF($A178&gt;MIN($A$10,$A$2),"",INDEX(DemoHistory[Date],$A178))</f>
        <v/>
      </c>
      <c r="C178" s="166" t="str">
        <f>IF(OR($A178&gt;MIN($A$10,$A$2),$A$5=""),"",INDEX(DemoHistory[],$A178,MATCH($A$5,DemoHistory[#Headers],0)))</f>
        <v/>
      </c>
      <c r="D178" s="166" t="str">
        <f>IF($A178&gt;MIN($A$10,$A$2),"",IF(AND($A$12,$A$6=1,B178&lt;$A$7,$A$7&lt;=MAX(DemoHistory[Date])),$A$8,1))</f>
        <v/>
      </c>
      <c r="E178" s="166" t="str">
        <f t="shared" si="6"/>
        <v/>
      </c>
      <c r="F178" s="166" t="str">
        <f>IF($A178&gt;MIN($A$10,$A$2),"",IF($A178&lt;50,"n.a.",IF(COUNT(INDEX(StockDaily[Adjusted close],MAX(1,$A178-50+1)):E178)=50,AVERAGE(INDEX(StockDaily[Adjusted close],MAX(1,$A178-50+1)):E178),"n.a.")))</f>
        <v/>
      </c>
      <c r="G178" s="166" t="str">
        <f>IF($A178&gt;MIN($A$10,$A$2),"",IF($A178&lt;200,"n.a.",IF(COUNT(INDEX(StockDaily[Adjusted close],MAX(1,$A178-200+1)):E178)=200,AVERAGE(INDEX(StockDaily[Adjusted close],MAX(1,$A178-200+1)):E178),"n.a.")))</f>
        <v/>
      </c>
      <c r="H178" s="136" t="str">
        <f>IF($A178&gt;MIN($A$10,$A$2),"",IF($A$5="","Choose stock",IF(NOT($A$12),"Check split rule",IF(NOT(ISNUMBER(B178)),"Invalid date",IF(OR(B178&lt;=0,B178&lt;&gt;INT(B178)),"Invalid date",IF(COUNTIFS(DemoHistory[Date],B178)&lt;&gt;1,"Duplicate date",IF(AND($A178&gt;1,B178&lt;=B177),"Dates out of order",IF(NOT(ISNUMBER(C178)),"Missing price",IF(C178&lt;=0,"Nonpositive price","OK")))))))))</f>
        <v/>
      </c>
      <c r="I178" s="136"/>
      <c r="J178" s="136"/>
      <c r="K178" s="136"/>
      <c r="L178" s="136"/>
      <c r="M178" s="136"/>
      <c r="N178" s="136" t="e">
        <f t="shared" si="7"/>
        <v>#N/A</v>
      </c>
      <c r="O178" s="136" t="e">
        <f t="shared" si="8"/>
        <v>#N/A</v>
      </c>
    </row>
    <row r="179" spans="1:15" ht="22.05" customHeight="1" x14ac:dyDescent="0.3">
      <c r="A179" s="136">
        <v>135</v>
      </c>
      <c r="B179" s="165" t="str">
        <f>IF($A179&gt;MIN($A$10,$A$2),"",INDEX(DemoHistory[Date],$A179))</f>
        <v/>
      </c>
      <c r="C179" s="166" t="str">
        <f>IF(OR($A179&gt;MIN($A$10,$A$2),$A$5=""),"",INDEX(DemoHistory[],$A179,MATCH($A$5,DemoHistory[#Headers],0)))</f>
        <v/>
      </c>
      <c r="D179" s="166" t="str">
        <f>IF($A179&gt;MIN($A$10,$A$2),"",IF(AND($A$12,$A$6=1,B179&lt;$A$7,$A$7&lt;=MAX(DemoHistory[Date])),$A$8,1))</f>
        <v/>
      </c>
      <c r="E179" s="166" t="str">
        <f t="shared" si="6"/>
        <v/>
      </c>
      <c r="F179" s="166" t="str">
        <f>IF($A179&gt;MIN($A$10,$A$2),"",IF($A179&lt;50,"n.a.",IF(COUNT(INDEX(StockDaily[Adjusted close],MAX(1,$A179-50+1)):E179)=50,AVERAGE(INDEX(StockDaily[Adjusted close],MAX(1,$A179-50+1)):E179),"n.a.")))</f>
        <v/>
      </c>
      <c r="G179" s="166" t="str">
        <f>IF($A179&gt;MIN($A$10,$A$2),"",IF($A179&lt;200,"n.a.",IF(COUNT(INDEX(StockDaily[Adjusted close],MAX(1,$A179-200+1)):E179)=200,AVERAGE(INDEX(StockDaily[Adjusted close],MAX(1,$A179-200+1)):E179),"n.a.")))</f>
        <v/>
      </c>
      <c r="H179" s="136" t="str">
        <f>IF($A179&gt;MIN($A$10,$A$2),"",IF($A$5="","Choose stock",IF(NOT($A$12),"Check split rule",IF(NOT(ISNUMBER(B179)),"Invalid date",IF(OR(B179&lt;=0,B179&lt;&gt;INT(B179)),"Invalid date",IF(COUNTIFS(DemoHistory[Date],B179)&lt;&gt;1,"Duplicate date",IF(AND($A179&gt;1,B179&lt;=B178),"Dates out of order",IF(NOT(ISNUMBER(C179)),"Missing price",IF(C179&lt;=0,"Nonpositive price","OK")))))))))</f>
        <v/>
      </c>
      <c r="I179" s="136"/>
      <c r="J179" s="136"/>
      <c r="K179" s="136"/>
      <c r="L179" s="136"/>
      <c r="M179" s="136"/>
      <c r="N179" s="136" t="e">
        <f t="shared" si="7"/>
        <v>#N/A</v>
      </c>
      <c r="O179" s="136" t="e">
        <f t="shared" si="8"/>
        <v>#N/A</v>
      </c>
    </row>
    <row r="180" spans="1:15" ht="22.05" customHeight="1" x14ac:dyDescent="0.3">
      <c r="A180" s="136">
        <v>136</v>
      </c>
      <c r="B180" s="165" t="str">
        <f>IF($A180&gt;MIN($A$10,$A$2),"",INDEX(DemoHistory[Date],$A180))</f>
        <v/>
      </c>
      <c r="C180" s="166" t="str">
        <f>IF(OR($A180&gt;MIN($A$10,$A$2),$A$5=""),"",INDEX(DemoHistory[],$A180,MATCH($A$5,DemoHistory[#Headers],0)))</f>
        <v/>
      </c>
      <c r="D180" s="166" t="str">
        <f>IF($A180&gt;MIN($A$10,$A$2),"",IF(AND($A$12,$A$6=1,B180&lt;$A$7,$A$7&lt;=MAX(DemoHistory[Date])),$A$8,1))</f>
        <v/>
      </c>
      <c r="E180" s="166" t="str">
        <f t="shared" si="6"/>
        <v/>
      </c>
      <c r="F180" s="166" t="str">
        <f>IF($A180&gt;MIN($A$10,$A$2),"",IF($A180&lt;50,"n.a.",IF(COUNT(INDEX(StockDaily[Adjusted close],MAX(1,$A180-50+1)):E180)=50,AVERAGE(INDEX(StockDaily[Adjusted close],MAX(1,$A180-50+1)):E180),"n.a.")))</f>
        <v/>
      </c>
      <c r="G180" s="166" t="str">
        <f>IF($A180&gt;MIN($A$10,$A$2),"",IF($A180&lt;200,"n.a.",IF(COUNT(INDEX(StockDaily[Adjusted close],MAX(1,$A180-200+1)):E180)=200,AVERAGE(INDEX(StockDaily[Adjusted close],MAX(1,$A180-200+1)):E180),"n.a.")))</f>
        <v/>
      </c>
      <c r="H180" s="136" t="str">
        <f>IF($A180&gt;MIN($A$10,$A$2),"",IF($A$5="","Choose stock",IF(NOT($A$12),"Check split rule",IF(NOT(ISNUMBER(B180)),"Invalid date",IF(OR(B180&lt;=0,B180&lt;&gt;INT(B180)),"Invalid date",IF(COUNTIFS(DemoHistory[Date],B180)&lt;&gt;1,"Duplicate date",IF(AND($A180&gt;1,B180&lt;=B179),"Dates out of order",IF(NOT(ISNUMBER(C180)),"Missing price",IF(C180&lt;=0,"Nonpositive price","OK")))))))))</f>
        <v/>
      </c>
      <c r="I180" s="136"/>
      <c r="J180" s="136"/>
      <c r="K180" s="136"/>
      <c r="L180" s="136"/>
      <c r="M180" s="136"/>
      <c r="N180" s="136" t="e">
        <f t="shared" si="7"/>
        <v>#N/A</v>
      </c>
      <c r="O180" s="136" t="e">
        <f t="shared" si="8"/>
        <v>#N/A</v>
      </c>
    </row>
    <row r="181" spans="1:15" ht="22.05" customHeight="1" x14ac:dyDescent="0.3">
      <c r="A181" s="136">
        <v>137</v>
      </c>
      <c r="B181" s="165" t="str">
        <f>IF($A181&gt;MIN($A$10,$A$2),"",INDEX(DemoHistory[Date],$A181))</f>
        <v/>
      </c>
      <c r="C181" s="166" t="str">
        <f>IF(OR($A181&gt;MIN($A$10,$A$2),$A$5=""),"",INDEX(DemoHistory[],$A181,MATCH($A$5,DemoHistory[#Headers],0)))</f>
        <v/>
      </c>
      <c r="D181" s="166" t="str">
        <f>IF($A181&gt;MIN($A$10,$A$2),"",IF(AND($A$12,$A$6=1,B181&lt;$A$7,$A$7&lt;=MAX(DemoHistory[Date])),$A$8,1))</f>
        <v/>
      </c>
      <c r="E181" s="166" t="str">
        <f t="shared" si="6"/>
        <v/>
      </c>
      <c r="F181" s="166" t="str">
        <f>IF($A181&gt;MIN($A$10,$A$2),"",IF($A181&lt;50,"n.a.",IF(COUNT(INDEX(StockDaily[Adjusted close],MAX(1,$A181-50+1)):E181)=50,AVERAGE(INDEX(StockDaily[Adjusted close],MAX(1,$A181-50+1)):E181),"n.a.")))</f>
        <v/>
      </c>
      <c r="G181" s="166" t="str">
        <f>IF($A181&gt;MIN($A$10,$A$2),"",IF($A181&lt;200,"n.a.",IF(COUNT(INDEX(StockDaily[Adjusted close],MAX(1,$A181-200+1)):E181)=200,AVERAGE(INDEX(StockDaily[Adjusted close],MAX(1,$A181-200+1)):E181),"n.a.")))</f>
        <v/>
      </c>
      <c r="H181" s="136" t="str">
        <f>IF($A181&gt;MIN($A$10,$A$2),"",IF($A$5="","Choose stock",IF(NOT($A$12),"Check split rule",IF(NOT(ISNUMBER(B181)),"Invalid date",IF(OR(B181&lt;=0,B181&lt;&gt;INT(B181)),"Invalid date",IF(COUNTIFS(DemoHistory[Date],B181)&lt;&gt;1,"Duplicate date",IF(AND($A181&gt;1,B181&lt;=B180),"Dates out of order",IF(NOT(ISNUMBER(C181)),"Missing price",IF(C181&lt;=0,"Nonpositive price","OK")))))))))</f>
        <v/>
      </c>
      <c r="I181" s="136"/>
      <c r="J181" s="136"/>
      <c r="K181" s="136"/>
      <c r="L181" s="136"/>
      <c r="M181" s="136"/>
      <c r="N181" s="136" t="e">
        <f t="shared" si="7"/>
        <v>#N/A</v>
      </c>
      <c r="O181" s="136" t="e">
        <f t="shared" si="8"/>
        <v>#N/A</v>
      </c>
    </row>
    <row r="182" spans="1:15" ht="22.05" customHeight="1" x14ac:dyDescent="0.3">
      <c r="A182" s="136">
        <v>138</v>
      </c>
      <c r="B182" s="165" t="str">
        <f>IF($A182&gt;MIN($A$10,$A$2),"",INDEX(DemoHistory[Date],$A182))</f>
        <v/>
      </c>
      <c r="C182" s="166" t="str">
        <f>IF(OR($A182&gt;MIN($A$10,$A$2),$A$5=""),"",INDEX(DemoHistory[],$A182,MATCH($A$5,DemoHistory[#Headers],0)))</f>
        <v/>
      </c>
      <c r="D182" s="166" t="str">
        <f>IF($A182&gt;MIN($A$10,$A$2),"",IF(AND($A$12,$A$6=1,B182&lt;$A$7,$A$7&lt;=MAX(DemoHistory[Date])),$A$8,1))</f>
        <v/>
      </c>
      <c r="E182" s="166" t="str">
        <f t="shared" si="6"/>
        <v/>
      </c>
      <c r="F182" s="166" t="str">
        <f>IF($A182&gt;MIN($A$10,$A$2),"",IF($A182&lt;50,"n.a.",IF(COUNT(INDEX(StockDaily[Adjusted close],MAX(1,$A182-50+1)):E182)=50,AVERAGE(INDEX(StockDaily[Adjusted close],MAX(1,$A182-50+1)):E182),"n.a.")))</f>
        <v/>
      </c>
      <c r="G182" s="166" t="str">
        <f>IF($A182&gt;MIN($A$10,$A$2),"",IF($A182&lt;200,"n.a.",IF(COUNT(INDEX(StockDaily[Adjusted close],MAX(1,$A182-200+1)):E182)=200,AVERAGE(INDEX(StockDaily[Adjusted close],MAX(1,$A182-200+1)):E182),"n.a.")))</f>
        <v/>
      </c>
      <c r="H182" s="136" t="str">
        <f>IF($A182&gt;MIN($A$10,$A$2),"",IF($A$5="","Choose stock",IF(NOT($A$12),"Check split rule",IF(NOT(ISNUMBER(B182)),"Invalid date",IF(OR(B182&lt;=0,B182&lt;&gt;INT(B182)),"Invalid date",IF(COUNTIFS(DemoHistory[Date],B182)&lt;&gt;1,"Duplicate date",IF(AND($A182&gt;1,B182&lt;=B181),"Dates out of order",IF(NOT(ISNUMBER(C182)),"Missing price",IF(C182&lt;=0,"Nonpositive price","OK")))))))))</f>
        <v/>
      </c>
      <c r="I182" s="136"/>
      <c r="J182" s="136"/>
      <c r="K182" s="136"/>
      <c r="L182" s="136"/>
      <c r="M182" s="136"/>
      <c r="N182" s="136" t="e">
        <f t="shared" si="7"/>
        <v>#N/A</v>
      </c>
      <c r="O182" s="136" t="e">
        <f t="shared" si="8"/>
        <v>#N/A</v>
      </c>
    </row>
    <row r="183" spans="1:15" ht="22.05" customHeight="1" x14ac:dyDescent="0.3">
      <c r="A183" s="136">
        <v>139</v>
      </c>
      <c r="B183" s="165" t="str">
        <f>IF($A183&gt;MIN($A$10,$A$2),"",INDEX(DemoHistory[Date],$A183))</f>
        <v/>
      </c>
      <c r="C183" s="166" t="str">
        <f>IF(OR($A183&gt;MIN($A$10,$A$2),$A$5=""),"",INDEX(DemoHistory[],$A183,MATCH($A$5,DemoHistory[#Headers],0)))</f>
        <v/>
      </c>
      <c r="D183" s="166" t="str">
        <f>IF($A183&gt;MIN($A$10,$A$2),"",IF(AND($A$12,$A$6=1,B183&lt;$A$7,$A$7&lt;=MAX(DemoHistory[Date])),$A$8,1))</f>
        <v/>
      </c>
      <c r="E183" s="166" t="str">
        <f t="shared" si="6"/>
        <v/>
      </c>
      <c r="F183" s="166" t="str">
        <f>IF($A183&gt;MIN($A$10,$A$2),"",IF($A183&lt;50,"n.a.",IF(COUNT(INDEX(StockDaily[Adjusted close],MAX(1,$A183-50+1)):E183)=50,AVERAGE(INDEX(StockDaily[Adjusted close],MAX(1,$A183-50+1)):E183),"n.a.")))</f>
        <v/>
      </c>
      <c r="G183" s="166" t="str">
        <f>IF($A183&gt;MIN($A$10,$A$2),"",IF($A183&lt;200,"n.a.",IF(COUNT(INDEX(StockDaily[Adjusted close],MAX(1,$A183-200+1)):E183)=200,AVERAGE(INDEX(StockDaily[Adjusted close],MAX(1,$A183-200+1)):E183),"n.a.")))</f>
        <v/>
      </c>
      <c r="H183" s="136" t="str">
        <f>IF($A183&gt;MIN($A$10,$A$2),"",IF($A$5="","Choose stock",IF(NOT($A$12),"Check split rule",IF(NOT(ISNUMBER(B183)),"Invalid date",IF(OR(B183&lt;=0,B183&lt;&gt;INT(B183)),"Invalid date",IF(COUNTIFS(DemoHistory[Date],B183)&lt;&gt;1,"Duplicate date",IF(AND($A183&gt;1,B183&lt;=B182),"Dates out of order",IF(NOT(ISNUMBER(C183)),"Missing price",IF(C183&lt;=0,"Nonpositive price","OK")))))))))</f>
        <v/>
      </c>
      <c r="I183" s="136"/>
      <c r="J183" s="136"/>
      <c r="K183" s="136"/>
      <c r="L183" s="136"/>
      <c r="M183" s="136"/>
      <c r="N183" s="136" t="e">
        <f t="shared" si="7"/>
        <v>#N/A</v>
      </c>
      <c r="O183" s="136" t="e">
        <f t="shared" si="8"/>
        <v>#N/A</v>
      </c>
    </row>
    <row r="184" spans="1:15" ht="22.05" customHeight="1" x14ac:dyDescent="0.3">
      <c r="A184" s="136">
        <v>140</v>
      </c>
      <c r="B184" s="165" t="str">
        <f>IF($A184&gt;MIN($A$10,$A$2),"",INDEX(DemoHistory[Date],$A184))</f>
        <v/>
      </c>
      <c r="C184" s="166" t="str">
        <f>IF(OR($A184&gt;MIN($A$10,$A$2),$A$5=""),"",INDEX(DemoHistory[],$A184,MATCH($A$5,DemoHistory[#Headers],0)))</f>
        <v/>
      </c>
      <c r="D184" s="166" t="str">
        <f>IF($A184&gt;MIN($A$10,$A$2),"",IF(AND($A$12,$A$6=1,B184&lt;$A$7,$A$7&lt;=MAX(DemoHistory[Date])),$A$8,1))</f>
        <v/>
      </c>
      <c r="E184" s="166" t="str">
        <f t="shared" si="6"/>
        <v/>
      </c>
      <c r="F184" s="166" t="str">
        <f>IF($A184&gt;MIN($A$10,$A$2),"",IF($A184&lt;50,"n.a.",IF(COUNT(INDEX(StockDaily[Adjusted close],MAX(1,$A184-50+1)):E184)=50,AVERAGE(INDEX(StockDaily[Adjusted close],MAX(1,$A184-50+1)):E184),"n.a.")))</f>
        <v/>
      </c>
      <c r="G184" s="166" t="str">
        <f>IF($A184&gt;MIN($A$10,$A$2),"",IF($A184&lt;200,"n.a.",IF(COUNT(INDEX(StockDaily[Adjusted close],MAX(1,$A184-200+1)):E184)=200,AVERAGE(INDEX(StockDaily[Adjusted close],MAX(1,$A184-200+1)):E184),"n.a.")))</f>
        <v/>
      </c>
      <c r="H184" s="136" t="str">
        <f>IF($A184&gt;MIN($A$10,$A$2),"",IF($A$5="","Choose stock",IF(NOT($A$12),"Check split rule",IF(NOT(ISNUMBER(B184)),"Invalid date",IF(OR(B184&lt;=0,B184&lt;&gt;INT(B184)),"Invalid date",IF(COUNTIFS(DemoHistory[Date],B184)&lt;&gt;1,"Duplicate date",IF(AND($A184&gt;1,B184&lt;=B183),"Dates out of order",IF(NOT(ISNUMBER(C184)),"Missing price",IF(C184&lt;=0,"Nonpositive price","OK")))))))))</f>
        <v/>
      </c>
      <c r="I184" s="136"/>
      <c r="J184" s="136"/>
      <c r="K184" s="136"/>
      <c r="L184" s="136"/>
      <c r="M184" s="136"/>
      <c r="N184" s="136" t="e">
        <f t="shared" si="7"/>
        <v>#N/A</v>
      </c>
      <c r="O184" s="136" t="e">
        <f t="shared" si="8"/>
        <v>#N/A</v>
      </c>
    </row>
    <row r="185" spans="1:15" ht="22.05" customHeight="1" x14ac:dyDescent="0.3">
      <c r="A185" s="136">
        <v>141</v>
      </c>
      <c r="B185" s="165" t="str">
        <f>IF($A185&gt;MIN($A$10,$A$2),"",INDEX(DemoHistory[Date],$A185))</f>
        <v/>
      </c>
      <c r="C185" s="166" t="str">
        <f>IF(OR($A185&gt;MIN($A$10,$A$2),$A$5=""),"",INDEX(DemoHistory[],$A185,MATCH($A$5,DemoHistory[#Headers],0)))</f>
        <v/>
      </c>
      <c r="D185" s="166" t="str">
        <f>IF($A185&gt;MIN($A$10,$A$2),"",IF(AND($A$12,$A$6=1,B185&lt;$A$7,$A$7&lt;=MAX(DemoHistory[Date])),$A$8,1))</f>
        <v/>
      </c>
      <c r="E185" s="166" t="str">
        <f t="shared" si="6"/>
        <v/>
      </c>
      <c r="F185" s="166" t="str">
        <f>IF($A185&gt;MIN($A$10,$A$2),"",IF($A185&lt;50,"n.a.",IF(COUNT(INDEX(StockDaily[Adjusted close],MAX(1,$A185-50+1)):E185)=50,AVERAGE(INDEX(StockDaily[Adjusted close],MAX(1,$A185-50+1)):E185),"n.a.")))</f>
        <v/>
      </c>
      <c r="G185" s="166" t="str">
        <f>IF($A185&gt;MIN($A$10,$A$2),"",IF($A185&lt;200,"n.a.",IF(COUNT(INDEX(StockDaily[Adjusted close],MAX(1,$A185-200+1)):E185)=200,AVERAGE(INDEX(StockDaily[Adjusted close],MAX(1,$A185-200+1)):E185),"n.a.")))</f>
        <v/>
      </c>
      <c r="H185" s="136" t="str">
        <f>IF($A185&gt;MIN($A$10,$A$2),"",IF($A$5="","Choose stock",IF(NOT($A$12),"Check split rule",IF(NOT(ISNUMBER(B185)),"Invalid date",IF(OR(B185&lt;=0,B185&lt;&gt;INT(B185)),"Invalid date",IF(COUNTIFS(DemoHistory[Date],B185)&lt;&gt;1,"Duplicate date",IF(AND($A185&gt;1,B185&lt;=B184),"Dates out of order",IF(NOT(ISNUMBER(C185)),"Missing price",IF(C185&lt;=0,"Nonpositive price","OK")))))))))</f>
        <v/>
      </c>
      <c r="I185" s="136"/>
      <c r="J185" s="136"/>
      <c r="K185" s="136"/>
      <c r="L185" s="136"/>
      <c r="M185" s="136"/>
      <c r="N185" s="136" t="e">
        <f t="shared" si="7"/>
        <v>#N/A</v>
      </c>
      <c r="O185" s="136" t="e">
        <f t="shared" si="8"/>
        <v>#N/A</v>
      </c>
    </row>
    <row r="186" spans="1:15" ht="22.05" customHeight="1" x14ac:dyDescent="0.3">
      <c r="A186" s="136">
        <v>142</v>
      </c>
      <c r="B186" s="165" t="str">
        <f>IF($A186&gt;MIN($A$10,$A$2),"",INDEX(DemoHistory[Date],$A186))</f>
        <v/>
      </c>
      <c r="C186" s="166" t="str">
        <f>IF(OR($A186&gt;MIN($A$10,$A$2),$A$5=""),"",INDEX(DemoHistory[],$A186,MATCH($A$5,DemoHistory[#Headers],0)))</f>
        <v/>
      </c>
      <c r="D186" s="166" t="str">
        <f>IF($A186&gt;MIN($A$10,$A$2),"",IF(AND($A$12,$A$6=1,B186&lt;$A$7,$A$7&lt;=MAX(DemoHistory[Date])),$A$8,1))</f>
        <v/>
      </c>
      <c r="E186" s="166" t="str">
        <f t="shared" si="6"/>
        <v/>
      </c>
      <c r="F186" s="166" t="str">
        <f>IF($A186&gt;MIN($A$10,$A$2),"",IF($A186&lt;50,"n.a.",IF(COUNT(INDEX(StockDaily[Adjusted close],MAX(1,$A186-50+1)):E186)=50,AVERAGE(INDEX(StockDaily[Adjusted close],MAX(1,$A186-50+1)):E186),"n.a.")))</f>
        <v/>
      </c>
      <c r="G186" s="166" t="str">
        <f>IF($A186&gt;MIN($A$10,$A$2),"",IF($A186&lt;200,"n.a.",IF(COUNT(INDEX(StockDaily[Adjusted close],MAX(1,$A186-200+1)):E186)=200,AVERAGE(INDEX(StockDaily[Adjusted close],MAX(1,$A186-200+1)):E186),"n.a.")))</f>
        <v/>
      </c>
      <c r="H186" s="136" t="str">
        <f>IF($A186&gt;MIN($A$10,$A$2),"",IF($A$5="","Choose stock",IF(NOT($A$12),"Check split rule",IF(NOT(ISNUMBER(B186)),"Invalid date",IF(OR(B186&lt;=0,B186&lt;&gt;INT(B186)),"Invalid date",IF(COUNTIFS(DemoHistory[Date],B186)&lt;&gt;1,"Duplicate date",IF(AND($A186&gt;1,B186&lt;=B185),"Dates out of order",IF(NOT(ISNUMBER(C186)),"Missing price",IF(C186&lt;=0,"Nonpositive price","OK")))))))))</f>
        <v/>
      </c>
      <c r="I186" s="136"/>
      <c r="J186" s="136"/>
      <c r="K186" s="136"/>
      <c r="L186" s="136"/>
      <c r="M186" s="136"/>
      <c r="N186" s="136" t="e">
        <f t="shared" si="7"/>
        <v>#N/A</v>
      </c>
      <c r="O186" s="136" t="e">
        <f t="shared" si="8"/>
        <v>#N/A</v>
      </c>
    </row>
    <row r="187" spans="1:15" ht="22.05" customHeight="1" x14ac:dyDescent="0.3">
      <c r="A187" s="136">
        <v>143</v>
      </c>
      <c r="B187" s="165" t="str">
        <f>IF($A187&gt;MIN($A$10,$A$2),"",INDEX(DemoHistory[Date],$A187))</f>
        <v/>
      </c>
      <c r="C187" s="166" t="str">
        <f>IF(OR($A187&gt;MIN($A$10,$A$2),$A$5=""),"",INDEX(DemoHistory[],$A187,MATCH($A$5,DemoHistory[#Headers],0)))</f>
        <v/>
      </c>
      <c r="D187" s="166" t="str">
        <f>IF($A187&gt;MIN($A$10,$A$2),"",IF(AND($A$12,$A$6=1,B187&lt;$A$7,$A$7&lt;=MAX(DemoHistory[Date])),$A$8,1))</f>
        <v/>
      </c>
      <c r="E187" s="166" t="str">
        <f t="shared" si="6"/>
        <v/>
      </c>
      <c r="F187" s="166" t="str">
        <f>IF($A187&gt;MIN($A$10,$A$2),"",IF($A187&lt;50,"n.a.",IF(COUNT(INDEX(StockDaily[Adjusted close],MAX(1,$A187-50+1)):E187)=50,AVERAGE(INDEX(StockDaily[Adjusted close],MAX(1,$A187-50+1)):E187),"n.a.")))</f>
        <v/>
      </c>
      <c r="G187" s="166" t="str">
        <f>IF($A187&gt;MIN($A$10,$A$2),"",IF($A187&lt;200,"n.a.",IF(COUNT(INDEX(StockDaily[Adjusted close],MAX(1,$A187-200+1)):E187)=200,AVERAGE(INDEX(StockDaily[Adjusted close],MAX(1,$A187-200+1)):E187),"n.a.")))</f>
        <v/>
      </c>
      <c r="H187" s="136" t="str">
        <f>IF($A187&gt;MIN($A$10,$A$2),"",IF($A$5="","Choose stock",IF(NOT($A$12),"Check split rule",IF(NOT(ISNUMBER(B187)),"Invalid date",IF(OR(B187&lt;=0,B187&lt;&gt;INT(B187)),"Invalid date",IF(COUNTIFS(DemoHistory[Date],B187)&lt;&gt;1,"Duplicate date",IF(AND($A187&gt;1,B187&lt;=B186),"Dates out of order",IF(NOT(ISNUMBER(C187)),"Missing price",IF(C187&lt;=0,"Nonpositive price","OK")))))))))</f>
        <v/>
      </c>
      <c r="I187" s="136"/>
      <c r="J187" s="136"/>
      <c r="K187" s="136"/>
      <c r="L187" s="136"/>
      <c r="M187" s="136"/>
      <c r="N187" s="136" t="e">
        <f t="shared" si="7"/>
        <v>#N/A</v>
      </c>
      <c r="O187" s="136" t="e">
        <f t="shared" si="8"/>
        <v>#N/A</v>
      </c>
    </row>
    <row r="188" spans="1:15" ht="22.05" customHeight="1" x14ac:dyDescent="0.3">
      <c r="A188" s="136">
        <v>144</v>
      </c>
      <c r="B188" s="165" t="str">
        <f>IF($A188&gt;MIN($A$10,$A$2),"",INDEX(DemoHistory[Date],$A188))</f>
        <v/>
      </c>
      <c r="C188" s="166" t="str">
        <f>IF(OR($A188&gt;MIN($A$10,$A$2),$A$5=""),"",INDEX(DemoHistory[],$A188,MATCH($A$5,DemoHistory[#Headers],0)))</f>
        <v/>
      </c>
      <c r="D188" s="166" t="str">
        <f>IF($A188&gt;MIN($A$10,$A$2),"",IF(AND($A$12,$A$6=1,B188&lt;$A$7,$A$7&lt;=MAX(DemoHistory[Date])),$A$8,1))</f>
        <v/>
      </c>
      <c r="E188" s="166" t="str">
        <f t="shared" si="6"/>
        <v/>
      </c>
      <c r="F188" s="166" t="str">
        <f>IF($A188&gt;MIN($A$10,$A$2),"",IF($A188&lt;50,"n.a.",IF(COUNT(INDEX(StockDaily[Adjusted close],MAX(1,$A188-50+1)):E188)=50,AVERAGE(INDEX(StockDaily[Adjusted close],MAX(1,$A188-50+1)):E188),"n.a.")))</f>
        <v/>
      </c>
      <c r="G188" s="166" t="str">
        <f>IF($A188&gt;MIN($A$10,$A$2),"",IF($A188&lt;200,"n.a.",IF(COUNT(INDEX(StockDaily[Adjusted close],MAX(1,$A188-200+1)):E188)=200,AVERAGE(INDEX(StockDaily[Adjusted close],MAX(1,$A188-200+1)):E188),"n.a.")))</f>
        <v/>
      </c>
      <c r="H188" s="136" t="str">
        <f>IF($A188&gt;MIN($A$10,$A$2),"",IF($A$5="","Choose stock",IF(NOT($A$12),"Check split rule",IF(NOT(ISNUMBER(B188)),"Invalid date",IF(OR(B188&lt;=0,B188&lt;&gt;INT(B188)),"Invalid date",IF(COUNTIFS(DemoHistory[Date],B188)&lt;&gt;1,"Duplicate date",IF(AND($A188&gt;1,B188&lt;=B187),"Dates out of order",IF(NOT(ISNUMBER(C188)),"Missing price",IF(C188&lt;=0,"Nonpositive price","OK")))))))))</f>
        <v/>
      </c>
      <c r="I188" s="136"/>
      <c r="J188" s="136"/>
      <c r="K188" s="136"/>
      <c r="L188" s="136"/>
      <c r="M188" s="136"/>
      <c r="N188" s="136" t="e">
        <f t="shared" si="7"/>
        <v>#N/A</v>
      </c>
      <c r="O188" s="136" t="e">
        <f t="shared" si="8"/>
        <v>#N/A</v>
      </c>
    </row>
    <row r="189" spans="1:15" ht="22.05" customHeight="1" x14ac:dyDescent="0.3">
      <c r="A189" s="136">
        <v>145</v>
      </c>
      <c r="B189" s="165" t="str">
        <f>IF($A189&gt;MIN($A$10,$A$2),"",INDEX(DemoHistory[Date],$A189))</f>
        <v/>
      </c>
      <c r="C189" s="166" t="str">
        <f>IF(OR($A189&gt;MIN($A$10,$A$2),$A$5=""),"",INDEX(DemoHistory[],$A189,MATCH($A$5,DemoHistory[#Headers],0)))</f>
        <v/>
      </c>
      <c r="D189" s="166" t="str">
        <f>IF($A189&gt;MIN($A$10,$A$2),"",IF(AND($A$12,$A$6=1,B189&lt;$A$7,$A$7&lt;=MAX(DemoHistory[Date])),$A$8,1))</f>
        <v/>
      </c>
      <c r="E189" s="166" t="str">
        <f t="shared" si="6"/>
        <v/>
      </c>
      <c r="F189" s="166" t="str">
        <f>IF($A189&gt;MIN($A$10,$A$2),"",IF($A189&lt;50,"n.a.",IF(COUNT(INDEX(StockDaily[Adjusted close],MAX(1,$A189-50+1)):E189)=50,AVERAGE(INDEX(StockDaily[Adjusted close],MAX(1,$A189-50+1)):E189),"n.a.")))</f>
        <v/>
      </c>
      <c r="G189" s="166" t="str">
        <f>IF($A189&gt;MIN($A$10,$A$2),"",IF($A189&lt;200,"n.a.",IF(COUNT(INDEX(StockDaily[Adjusted close],MAX(1,$A189-200+1)):E189)=200,AVERAGE(INDEX(StockDaily[Adjusted close],MAX(1,$A189-200+1)):E189),"n.a.")))</f>
        <v/>
      </c>
      <c r="H189" s="136" t="str">
        <f>IF($A189&gt;MIN($A$10,$A$2),"",IF($A$5="","Choose stock",IF(NOT($A$12),"Check split rule",IF(NOT(ISNUMBER(B189)),"Invalid date",IF(OR(B189&lt;=0,B189&lt;&gt;INT(B189)),"Invalid date",IF(COUNTIFS(DemoHistory[Date],B189)&lt;&gt;1,"Duplicate date",IF(AND($A189&gt;1,B189&lt;=B188),"Dates out of order",IF(NOT(ISNUMBER(C189)),"Missing price",IF(C189&lt;=0,"Nonpositive price","OK")))))))))</f>
        <v/>
      </c>
      <c r="I189" s="136"/>
      <c r="J189" s="136"/>
      <c r="K189" s="136"/>
      <c r="L189" s="136"/>
      <c r="M189" s="136"/>
      <c r="N189" s="136" t="e">
        <f t="shared" si="7"/>
        <v>#N/A</v>
      </c>
      <c r="O189" s="136" t="e">
        <f t="shared" si="8"/>
        <v>#N/A</v>
      </c>
    </row>
    <row r="190" spans="1:15" ht="22.05" customHeight="1" x14ac:dyDescent="0.3">
      <c r="A190" s="136">
        <v>146</v>
      </c>
      <c r="B190" s="165" t="str">
        <f>IF($A190&gt;MIN($A$10,$A$2),"",INDEX(DemoHistory[Date],$A190))</f>
        <v/>
      </c>
      <c r="C190" s="166" t="str">
        <f>IF(OR($A190&gt;MIN($A$10,$A$2),$A$5=""),"",INDEX(DemoHistory[],$A190,MATCH($A$5,DemoHistory[#Headers],0)))</f>
        <v/>
      </c>
      <c r="D190" s="166" t="str">
        <f>IF($A190&gt;MIN($A$10,$A$2),"",IF(AND($A$12,$A$6=1,B190&lt;$A$7,$A$7&lt;=MAX(DemoHistory[Date])),$A$8,1))</f>
        <v/>
      </c>
      <c r="E190" s="166" t="str">
        <f t="shared" si="6"/>
        <v/>
      </c>
      <c r="F190" s="166" t="str">
        <f>IF($A190&gt;MIN($A$10,$A$2),"",IF($A190&lt;50,"n.a.",IF(COUNT(INDEX(StockDaily[Adjusted close],MAX(1,$A190-50+1)):E190)=50,AVERAGE(INDEX(StockDaily[Adjusted close],MAX(1,$A190-50+1)):E190),"n.a.")))</f>
        <v/>
      </c>
      <c r="G190" s="166" t="str">
        <f>IF($A190&gt;MIN($A$10,$A$2),"",IF($A190&lt;200,"n.a.",IF(COUNT(INDEX(StockDaily[Adjusted close],MAX(1,$A190-200+1)):E190)=200,AVERAGE(INDEX(StockDaily[Adjusted close],MAX(1,$A190-200+1)):E190),"n.a.")))</f>
        <v/>
      </c>
      <c r="H190" s="136" t="str">
        <f>IF($A190&gt;MIN($A$10,$A$2),"",IF($A$5="","Choose stock",IF(NOT($A$12),"Check split rule",IF(NOT(ISNUMBER(B190)),"Invalid date",IF(OR(B190&lt;=0,B190&lt;&gt;INT(B190)),"Invalid date",IF(COUNTIFS(DemoHistory[Date],B190)&lt;&gt;1,"Duplicate date",IF(AND($A190&gt;1,B190&lt;=B189),"Dates out of order",IF(NOT(ISNUMBER(C190)),"Missing price",IF(C190&lt;=0,"Nonpositive price","OK")))))))))</f>
        <v/>
      </c>
      <c r="I190" s="136"/>
      <c r="J190" s="136"/>
      <c r="K190" s="136"/>
      <c r="L190" s="136"/>
      <c r="M190" s="136"/>
      <c r="N190" s="136" t="e">
        <f t="shared" si="7"/>
        <v>#N/A</v>
      </c>
      <c r="O190" s="136" t="e">
        <f t="shared" si="8"/>
        <v>#N/A</v>
      </c>
    </row>
    <row r="191" spans="1:15" ht="22.05" customHeight="1" x14ac:dyDescent="0.3">
      <c r="A191" s="136">
        <v>147</v>
      </c>
      <c r="B191" s="165" t="str">
        <f>IF($A191&gt;MIN($A$10,$A$2),"",INDEX(DemoHistory[Date],$A191))</f>
        <v/>
      </c>
      <c r="C191" s="166" t="str">
        <f>IF(OR($A191&gt;MIN($A$10,$A$2),$A$5=""),"",INDEX(DemoHistory[],$A191,MATCH($A$5,DemoHistory[#Headers],0)))</f>
        <v/>
      </c>
      <c r="D191" s="166" t="str">
        <f>IF($A191&gt;MIN($A$10,$A$2),"",IF(AND($A$12,$A$6=1,B191&lt;$A$7,$A$7&lt;=MAX(DemoHistory[Date])),$A$8,1))</f>
        <v/>
      </c>
      <c r="E191" s="166" t="str">
        <f t="shared" si="6"/>
        <v/>
      </c>
      <c r="F191" s="166" t="str">
        <f>IF($A191&gt;MIN($A$10,$A$2),"",IF($A191&lt;50,"n.a.",IF(COUNT(INDEX(StockDaily[Adjusted close],MAX(1,$A191-50+1)):E191)=50,AVERAGE(INDEX(StockDaily[Adjusted close],MAX(1,$A191-50+1)):E191),"n.a.")))</f>
        <v/>
      </c>
      <c r="G191" s="166" t="str">
        <f>IF($A191&gt;MIN($A$10,$A$2),"",IF($A191&lt;200,"n.a.",IF(COUNT(INDEX(StockDaily[Adjusted close],MAX(1,$A191-200+1)):E191)=200,AVERAGE(INDEX(StockDaily[Adjusted close],MAX(1,$A191-200+1)):E191),"n.a.")))</f>
        <v/>
      </c>
      <c r="H191" s="136" t="str">
        <f>IF($A191&gt;MIN($A$10,$A$2),"",IF($A$5="","Choose stock",IF(NOT($A$12),"Check split rule",IF(NOT(ISNUMBER(B191)),"Invalid date",IF(OR(B191&lt;=0,B191&lt;&gt;INT(B191)),"Invalid date",IF(COUNTIFS(DemoHistory[Date],B191)&lt;&gt;1,"Duplicate date",IF(AND($A191&gt;1,B191&lt;=B190),"Dates out of order",IF(NOT(ISNUMBER(C191)),"Missing price",IF(C191&lt;=0,"Nonpositive price","OK")))))))))</f>
        <v/>
      </c>
      <c r="I191" s="136"/>
      <c r="J191" s="136"/>
      <c r="K191" s="136"/>
      <c r="L191" s="136"/>
      <c r="M191" s="136"/>
      <c r="N191" s="136" t="e">
        <f t="shared" si="7"/>
        <v>#N/A</v>
      </c>
      <c r="O191" s="136" t="e">
        <f t="shared" si="8"/>
        <v>#N/A</v>
      </c>
    </row>
    <row r="192" spans="1:15" ht="22.05" customHeight="1" x14ac:dyDescent="0.3">
      <c r="A192" s="136">
        <v>148</v>
      </c>
      <c r="B192" s="165" t="str">
        <f>IF($A192&gt;MIN($A$10,$A$2),"",INDEX(DemoHistory[Date],$A192))</f>
        <v/>
      </c>
      <c r="C192" s="166" t="str">
        <f>IF(OR($A192&gt;MIN($A$10,$A$2),$A$5=""),"",INDEX(DemoHistory[],$A192,MATCH($A$5,DemoHistory[#Headers],0)))</f>
        <v/>
      </c>
      <c r="D192" s="166" t="str">
        <f>IF($A192&gt;MIN($A$10,$A$2),"",IF(AND($A$12,$A$6=1,B192&lt;$A$7,$A$7&lt;=MAX(DemoHistory[Date])),$A$8,1))</f>
        <v/>
      </c>
      <c r="E192" s="166" t="str">
        <f t="shared" si="6"/>
        <v/>
      </c>
      <c r="F192" s="166" t="str">
        <f>IF($A192&gt;MIN($A$10,$A$2),"",IF($A192&lt;50,"n.a.",IF(COUNT(INDEX(StockDaily[Adjusted close],MAX(1,$A192-50+1)):E192)=50,AVERAGE(INDEX(StockDaily[Adjusted close],MAX(1,$A192-50+1)):E192),"n.a.")))</f>
        <v/>
      </c>
      <c r="G192" s="166" t="str">
        <f>IF($A192&gt;MIN($A$10,$A$2),"",IF($A192&lt;200,"n.a.",IF(COUNT(INDEX(StockDaily[Adjusted close],MAX(1,$A192-200+1)):E192)=200,AVERAGE(INDEX(StockDaily[Adjusted close],MAX(1,$A192-200+1)):E192),"n.a.")))</f>
        <v/>
      </c>
      <c r="H192" s="136" t="str">
        <f>IF($A192&gt;MIN($A$10,$A$2),"",IF($A$5="","Choose stock",IF(NOT($A$12),"Check split rule",IF(NOT(ISNUMBER(B192)),"Invalid date",IF(OR(B192&lt;=0,B192&lt;&gt;INT(B192)),"Invalid date",IF(COUNTIFS(DemoHistory[Date],B192)&lt;&gt;1,"Duplicate date",IF(AND($A192&gt;1,B192&lt;=B191),"Dates out of order",IF(NOT(ISNUMBER(C192)),"Missing price",IF(C192&lt;=0,"Nonpositive price","OK")))))))))</f>
        <v/>
      </c>
      <c r="I192" s="136"/>
      <c r="J192" s="136"/>
      <c r="K192" s="136"/>
      <c r="L192" s="136"/>
      <c r="M192" s="136"/>
      <c r="N192" s="136" t="e">
        <f t="shared" si="7"/>
        <v>#N/A</v>
      </c>
      <c r="O192" s="136" t="e">
        <f t="shared" si="8"/>
        <v>#N/A</v>
      </c>
    </row>
    <row r="193" spans="1:15" ht="22.05" customHeight="1" x14ac:dyDescent="0.3">
      <c r="A193" s="136">
        <v>149</v>
      </c>
      <c r="B193" s="165" t="str">
        <f>IF($A193&gt;MIN($A$10,$A$2),"",INDEX(DemoHistory[Date],$A193))</f>
        <v/>
      </c>
      <c r="C193" s="166" t="str">
        <f>IF(OR($A193&gt;MIN($A$10,$A$2),$A$5=""),"",INDEX(DemoHistory[],$A193,MATCH($A$5,DemoHistory[#Headers],0)))</f>
        <v/>
      </c>
      <c r="D193" s="166" t="str">
        <f>IF($A193&gt;MIN($A$10,$A$2),"",IF(AND($A$12,$A$6=1,B193&lt;$A$7,$A$7&lt;=MAX(DemoHistory[Date])),$A$8,1))</f>
        <v/>
      </c>
      <c r="E193" s="166" t="str">
        <f t="shared" si="6"/>
        <v/>
      </c>
      <c r="F193" s="166" t="str">
        <f>IF($A193&gt;MIN($A$10,$A$2),"",IF($A193&lt;50,"n.a.",IF(COUNT(INDEX(StockDaily[Adjusted close],MAX(1,$A193-50+1)):E193)=50,AVERAGE(INDEX(StockDaily[Adjusted close],MAX(1,$A193-50+1)):E193),"n.a.")))</f>
        <v/>
      </c>
      <c r="G193" s="166" t="str">
        <f>IF($A193&gt;MIN($A$10,$A$2),"",IF($A193&lt;200,"n.a.",IF(COUNT(INDEX(StockDaily[Adjusted close],MAX(1,$A193-200+1)):E193)=200,AVERAGE(INDEX(StockDaily[Adjusted close],MAX(1,$A193-200+1)):E193),"n.a.")))</f>
        <v/>
      </c>
      <c r="H193" s="136" t="str">
        <f>IF($A193&gt;MIN($A$10,$A$2),"",IF($A$5="","Choose stock",IF(NOT($A$12),"Check split rule",IF(NOT(ISNUMBER(B193)),"Invalid date",IF(OR(B193&lt;=0,B193&lt;&gt;INT(B193)),"Invalid date",IF(COUNTIFS(DemoHistory[Date],B193)&lt;&gt;1,"Duplicate date",IF(AND($A193&gt;1,B193&lt;=B192),"Dates out of order",IF(NOT(ISNUMBER(C193)),"Missing price",IF(C193&lt;=0,"Nonpositive price","OK")))))))))</f>
        <v/>
      </c>
      <c r="I193" s="136"/>
      <c r="J193" s="136"/>
      <c r="K193" s="136"/>
      <c r="L193" s="136"/>
      <c r="M193" s="136"/>
      <c r="N193" s="136" t="e">
        <f t="shared" si="7"/>
        <v>#N/A</v>
      </c>
      <c r="O193" s="136" t="e">
        <f t="shared" si="8"/>
        <v>#N/A</v>
      </c>
    </row>
    <row r="194" spans="1:15" ht="22.05" customHeight="1" x14ac:dyDescent="0.3">
      <c r="A194" s="136">
        <v>150</v>
      </c>
      <c r="B194" s="165" t="str">
        <f>IF($A194&gt;MIN($A$10,$A$2),"",INDEX(DemoHistory[Date],$A194))</f>
        <v/>
      </c>
      <c r="C194" s="166" t="str">
        <f>IF(OR($A194&gt;MIN($A$10,$A$2),$A$5=""),"",INDEX(DemoHistory[],$A194,MATCH($A$5,DemoHistory[#Headers],0)))</f>
        <v/>
      </c>
      <c r="D194" s="166" t="str">
        <f>IF($A194&gt;MIN($A$10,$A$2),"",IF(AND($A$12,$A$6=1,B194&lt;$A$7,$A$7&lt;=MAX(DemoHistory[Date])),$A$8,1))</f>
        <v/>
      </c>
      <c r="E194" s="166" t="str">
        <f t="shared" si="6"/>
        <v/>
      </c>
      <c r="F194" s="166" t="str">
        <f>IF($A194&gt;MIN($A$10,$A$2),"",IF($A194&lt;50,"n.a.",IF(COUNT(INDEX(StockDaily[Adjusted close],MAX(1,$A194-50+1)):E194)=50,AVERAGE(INDEX(StockDaily[Adjusted close],MAX(1,$A194-50+1)):E194),"n.a.")))</f>
        <v/>
      </c>
      <c r="G194" s="166" t="str">
        <f>IF($A194&gt;MIN($A$10,$A$2),"",IF($A194&lt;200,"n.a.",IF(COUNT(INDEX(StockDaily[Adjusted close],MAX(1,$A194-200+1)):E194)=200,AVERAGE(INDEX(StockDaily[Adjusted close],MAX(1,$A194-200+1)):E194),"n.a.")))</f>
        <v/>
      </c>
      <c r="H194" s="136" t="str">
        <f>IF($A194&gt;MIN($A$10,$A$2),"",IF($A$5="","Choose stock",IF(NOT($A$12),"Check split rule",IF(NOT(ISNUMBER(B194)),"Invalid date",IF(OR(B194&lt;=0,B194&lt;&gt;INT(B194)),"Invalid date",IF(COUNTIFS(DemoHistory[Date],B194)&lt;&gt;1,"Duplicate date",IF(AND($A194&gt;1,B194&lt;=B193),"Dates out of order",IF(NOT(ISNUMBER(C194)),"Missing price",IF(C194&lt;=0,"Nonpositive price","OK")))))))))</f>
        <v/>
      </c>
      <c r="I194" s="136"/>
      <c r="J194" s="136"/>
      <c r="K194" s="136"/>
      <c r="L194" s="136"/>
      <c r="M194" s="136"/>
      <c r="N194" s="136" t="e">
        <f t="shared" si="7"/>
        <v>#N/A</v>
      </c>
      <c r="O194" s="136" t="e">
        <f t="shared" si="8"/>
        <v>#N/A</v>
      </c>
    </row>
    <row r="195" spans="1:15" ht="22.05" customHeight="1" x14ac:dyDescent="0.3">
      <c r="A195" s="136">
        <v>151</v>
      </c>
      <c r="B195" s="165" t="str">
        <f>IF($A195&gt;MIN($A$10,$A$2),"",INDEX(DemoHistory[Date],$A195))</f>
        <v/>
      </c>
      <c r="C195" s="166" t="str">
        <f>IF(OR($A195&gt;MIN($A$10,$A$2),$A$5=""),"",INDEX(DemoHistory[],$A195,MATCH($A$5,DemoHistory[#Headers],0)))</f>
        <v/>
      </c>
      <c r="D195" s="166" t="str">
        <f>IF($A195&gt;MIN($A$10,$A$2),"",IF(AND($A$12,$A$6=1,B195&lt;$A$7,$A$7&lt;=MAX(DemoHistory[Date])),$A$8,1))</f>
        <v/>
      </c>
      <c r="E195" s="166" t="str">
        <f t="shared" si="6"/>
        <v/>
      </c>
      <c r="F195" s="166" t="str">
        <f>IF($A195&gt;MIN($A$10,$A$2),"",IF($A195&lt;50,"n.a.",IF(COUNT(INDEX(StockDaily[Adjusted close],MAX(1,$A195-50+1)):E195)=50,AVERAGE(INDEX(StockDaily[Adjusted close],MAX(1,$A195-50+1)):E195),"n.a.")))</f>
        <v/>
      </c>
      <c r="G195" s="166" t="str">
        <f>IF($A195&gt;MIN($A$10,$A$2),"",IF($A195&lt;200,"n.a.",IF(COUNT(INDEX(StockDaily[Adjusted close],MAX(1,$A195-200+1)):E195)=200,AVERAGE(INDEX(StockDaily[Adjusted close],MAX(1,$A195-200+1)):E195),"n.a.")))</f>
        <v/>
      </c>
      <c r="H195" s="136" t="str">
        <f>IF($A195&gt;MIN($A$10,$A$2),"",IF($A$5="","Choose stock",IF(NOT($A$12),"Check split rule",IF(NOT(ISNUMBER(B195)),"Invalid date",IF(OR(B195&lt;=0,B195&lt;&gt;INT(B195)),"Invalid date",IF(COUNTIFS(DemoHistory[Date],B195)&lt;&gt;1,"Duplicate date",IF(AND($A195&gt;1,B195&lt;=B194),"Dates out of order",IF(NOT(ISNUMBER(C195)),"Missing price",IF(C195&lt;=0,"Nonpositive price","OK")))))))))</f>
        <v/>
      </c>
      <c r="I195" s="136"/>
      <c r="J195" s="136"/>
      <c r="K195" s="136"/>
      <c r="L195" s="136"/>
      <c r="M195" s="136"/>
      <c r="N195" s="136" t="e">
        <f t="shared" si="7"/>
        <v>#N/A</v>
      </c>
      <c r="O195" s="136" t="e">
        <f t="shared" si="8"/>
        <v>#N/A</v>
      </c>
    </row>
    <row r="196" spans="1:15" ht="22.05" customHeight="1" x14ac:dyDescent="0.3">
      <c r="A196" s="136">
        <v>152</v>
      </c>
      <c r="B196" s="165" t="str">
        <f>IF($A196&gt;MIN($A$10,$A$2),"",INDEX(DemoHistory[Date],$A196))</f>
        <v/>
      </c>
      <c r="C196" s="166" t="str">
        <f>IF(OR($A196&gt;MIN($A$10,$A$2),$A$5=""),"",INDEX(DemoHistory[],$A196,MATCH($A$5,DemoHistory[#Headers],0)))</f>
        <v/>
      </c>
      <c r="D196" s="166" t="str">
        <f>IF($A196&gt;MIN($A$10,$A$2),"",IF(AND($A$12,$A$6=1,B196&lt;$A$7,$A$7&lt;=MAX(DemoHistory[Date])),$A$8,1))</f>
        <v/>
      </c>
      <c r="E196" s="166" t="str">
        <f t="shared" si="6"/>
        <v/>
      </c>
      <c r="F196" s="166" t="str">
        <f>IF($A196&gt;MIN($A$10,$A$2),"",IF($A196&lt;50,"n.a.",IF(COUNT(INDEX(StockDaily[Adjusted close],MAX(1,$A196-50+1)):E196)=50,AVERAGE(INDEX(StockDaily[Adjusted close],MAX(1,$A196-50+1)):E196),"n.a.")))</f>
        <v/>
      </c>
      <c r="G196" s="166" t="str">
        <f>IF($A196&gt;MIN($A$10,$A$2),"",IF($A196&lt;200,"n.a.",IF(COUNT(INDEX(StockDaily[Adjusted close],MAX(1,$A196-200+1)):E196)=200,AVERAGE(INDEX(StockDaily[Adjusted close],MAX(1,$A196-200+1)):E196),"n.a.")))</f>
        <v/>
      </c>
      <c r="H196" s="136" t="str">
        <f>IF($A196&gt;MIN($A$10,$A$2),"",IF($A$5="","Choose stock",IF(NOT($A$12),"Check split rule",IF(NOT(ISNUMBER(B196)),"Invalid date",IF(OR(B196&lt;=0,B196&lt;&gt;INT(B196)),"Invalid date",IF(COUNTIFS(DemoHistory[Date],B196)&lt;&gt;1,"Duplicate date",IF(AND($A196&gt;1,B196&lt;=B195),"Dates out of order",IF(NOT(ISNUMBER(C196)),"Missing price",IF(C196&lt;=0,"Nonpositive price","OK")))))))))</f>
        <v/>
      </c>
      <c r="I196" s="136"/>
      <c r="J196" s="136"/>
      <c r="K196" s="136"/>
      <c r="L196" s="136"/>
      <c r="M196" s="136"/>
      <c r="N196" s="136" t="e">
        <f t="shared" si="7"/>
        <v>#N/A</v>
      </c>
      <c r="O196" s="136" t="e">
        <f t="shared" si="8"/>
        <v>#N/A</v>
      </c>
    </row>
    <row r="197" spans="1:15" ht="22.05" customHeight="1" x14ac:dyDescent="0.3">
      <c r="A197" s="136">
        <v>153</v>
      </c>
      <c r="B197" s="165" t="str">
        <f>IF($A197&gt;MIN($A$10,$A$2),"",INDEX(DemoHistory[Date],$A197))</f>
        <v/>
      </c>
      <c r="C197" s="166" t="str">
        <f>IF(OR($A197&gt;MIN($A$10,$A$2),$A$5=""),"",INDEX(DemoHistory[],$A197,MATCH($A$5,DemoHistory[#Headers],0)))</f>
        <v/>
      </c>
      <c r="D197" s="166" t="str">
        <f>IF($A197&gt;MIN($A$10,$A$2),"",IF(AND($A$12,$A$6=1,B197&lt;$A$7,$A$7&lt;=MAX(DemoHistory[Date])),$A$8,1))</f>
        <v/>
      </c>
      <c r="E197" s="166" t="str">
        <f t="shared" si="6"/>
        <v/>
      </c>
      <c r="F197" s="166" t="str">
        <f>IF($A197&gt;MIN($A$10,$A$2),"",IF($A197&lt;50,"n.a.",IF(COUNT(INDEX(StockDaily[Adjusted close],MAX(1,$A197-50+1)):E197)=50,AVERAGE(INDEX(StockDaily[Adjusted close],MAX(1,$A197-50+1)):E197),"n.a.")))</f>
        <v/>
      </c>
      <c r="G197" s="166" t="str">
        <f>IF($A197&gt;MIN($A$10,$A$2),"",IF($A197&lt;200,"n.a.",IF(COUNT(INDEX(StockDaily[Adjusted close],MAX(1,$A197-200+1)):E197)=200,AVERAGE(INDEX(StockDaily[Adjusted close],MAX(1,$A197-200+1)):E197),"n.a.")))</f>
        <v/>
      </c>
      <c r="H197" s="136" t="str">
        <f>IF($A197&gt;MIN($A$10,$A$2),"",IF($A$5="","Choose stock",IF(NOT($A$12),"Check split rule",IF(NOT(ISNUMBER(B197)),"Invalid date",IF(OR(B197&lt;=0,B197&lt;&gt;INT(B197)),"Invalid date",IF(COUNTIFS(DemoHistory[Date],B197)&lt;&gt;1,"Duplicate date",IF(AND($A197&gt;1,B197&lt;=B196),"Dates out of order",IF(NOT(ISNUMBER(C197)),"Missing price",IF(C197&lt;=0,"Nonpositive price","OK")))))))))</f>
        <v/>
      </c>
      <c r="I197" s="136"/>
      <c r="J197" s="136"/>
      <c r="K197" s="136"/>
      <c r="L197" s="136"/>
      <c r="M197" s="136"/>
      <c r="N197" s="136" t="e">
        <f t="shared" si="7"/>
        <v>#N/A</v>
      </c>
      <c r="O197" s="136" t="e">
        <f t="shared" si="8"/>
        <v>#N/A</v>
      </c>
    </row>
    <row r="198" spans="1:15" ht="22.05" customHeight="1" x14ac:dyDescent="0.3">
      <c r="A198" s="136">
        <v>154</v>
      </c>
      <c r="B198" s="165" t="str">
        <f>IF($A198&gt;MIN($A$10,$A$2),"",INDEX(DemoHistory[Date],$A198))</f>
        <v/>
      </c>
      <c r="C198" s="166" t="str">
        <f>IF(OR($A198&gt;MIN($A$10,$A$2),$A$5=""),"",INDEX(DemoHistory[],$A198,MATCH($A$5,DemoHistory[#Headers],0)))</f>
        <v/>
      </c>
      <c r="D198" s="166" t="str">
        <f>IF($A198&gt;MIN($A$10,$A$2),"",IF(AND($A$12,$A$6=1,B198&lt;$A$7,$A$7&lt;=MAX(DemoHistory[Date])),$A$8,1))</f>
        <v/>
      </c>
      <c r="E198" s="166" t="str">
        <f t="shared" si="6"/>
        <v/>
      </c>
      <c r="F198" s="166" t="str">
        <f>IF($A198&gt;MIN($A$10,$A$2),"",IF($A198&lt;50,"n.a.",IF(COUNT(INDEX(StockDaily[Adjusted close],MAX(1,$A198-50+1)):E198)=50,AVERAGE(INDEX(StockDaily[Adjusted close],MAX(1,$A198-50+1)):E198),"n.a.")))</f>
        <v/>
      </c>
      <c r="G198" s="166" t="str">
        <f>IF($A198&gt;MIN($A$10,$A$2),"",IF($A198&lt;200,"n.a.",IF(COUNT(INDEX(StockDaily[Adjusted close],MAX(1,$A198-200+1)):E198)=200,AVERAGE(INDEX(StockDaily[Adjusted close],MAX(1,$A198-200+1)):E198),"n.a.")))</f>
        <v/>
      </c>
      <c r="H198" s="136" t="str">
        <f>IF($A198&gt;MIN($A$10,$A$2),"",IF($A$5="","Choose stock",IF(NOT($A$12),"Check split rule",IF(NOT(ISNUMBER(B198)),"Invalid date",IF(OR(B198&lt;=0,B198&lt;&gt;INT(B198)),"Invalid date",IF(COUNTIFS(DemoHistory[Date],B198)&lt;&gt;1,"Duplicate date",IF(AND($A198&gt;1,B198&lt;=B197),"Dates out of order",IF(NOT(ISNUMBER(C198)),"Missing price",IF(C198&lt;=0,"Nonpositive price","OK")))))))))</f>
        <v/>
      </c>
      <c r="I198" s="136"/>
      <c r="J198" s="136"/>
      <c r="K198" s="136"/>
      <c r="L198" s="136"/>
      <c r="M198" s="136"/>
      <c r="N198" s="136" t="e">
        <f t="shared" si="7"/>
        <v>#N/A</v>
      </c>
      <c r="O198" s="136" t="e">
        <f t="shared" si="8"/>
        <v>#N/A</v>
      </c>
    </row>
    <row r="199" spans="1:15" ht="22.05" customHeight="1" x14ac:dyDescent="0.3">
      <c r="A199" s="136">
        <v>155</v>
      </c>
      <c r="B199" s="165" t="str">
        <f>IF($A199&gt;MIN($A$10,$A$2),"",INDEX(DemoHistory[Date],$A199))</f>
        <v/>
      </c>
      <c r="C199" s="166" t="str">
        <f>IF(OR($A199&gt;MIN($A$10,$A$2),$A$5=""),"",INDEX(DemoHistory[],$A199,MATCH($A$5,DemoHistory[#Headers],0)))</f>
        <v/>
      </c>
      <c r="D199" s="166" t="str">
        <f>IF($A199&gt;MIN($A$10,$A$2),"",IF(AND($A$12,$A$6=1,B199&lt;$A$7,$A$7&lt;=MAX(DemoHistory[Date])),$A$8,1))</f>
        <v/>
      </c>
      <c r="E199" s="166" t="str">
        <f t="shared" si="6"/>
        <v/>
      </c>
      <c r="F199" s="166" t="str">
        <f>IF($A199&gt;MIN($A$10,$A$2),"",IF($A199&lt;50,"n.a.",IF(COUNT(INDEX(StockDaily[Adjusted close],MAX(1,$A199-50+1)):E199)=50,AVERAGE(INDEX(StockDaily[Adjusted close],MAX(1,$A199-50+1)):E199),"n.a.")))</f>
        <v/>
      </c>
      <c r="G199" s="166" t="str">
        <f>IF($A199&gt;MIN($A$10,$A$2),"",IF($A199&lt;200,"n.a.",IF(COUNT(INDEX(StockDaily[Adjusted close],MAX(1,$A199-200+1)):E199)=200,AVERAGE(INDEX(StockDaily[Adjusted close],MAX(1,$A199-200+1)):E199),"n.a.")))</f>
        <v/>
      </c>
      <c r="H199" s="136" t="str">
        <f>IF($A199&gt;MIN($A$10,$A$2),"",IF($A$5="","Choose stock",IF(NOT($A$12),"Check split rule",IF(NOT(ISNUMBER(B199)),"Invalid date",IF(OR(B199&lt;=0,B199&lt;&gt;INT(B199)),"Invalid date",IF(COUNTIFS(DemoHistory[Date],B199)&lt;&gt;1,"Duplicate date",IF(AND($A199&gt;1,B199&lt;=B198),"Dates out of order",IF(NOT(ISNUMBER(C199)),"Missing price",IF(C199&lt;=0,"Nonpositive price","OK")))))))))</f>
        <v/>
      </c>
      <c r="I199" s="136"/>
      <c r="J199" s="136"/>
      <c r="K199" s="136"/>
      <c r="L199" s="136"/>
      <c r="M199" s="136"/>
      <c r="N199" s="136" t="e">
        <f t="shared" si="7"/>
        <v>#N/A</v>
      </c>
      <c r="O199" s="136" t="e">
        <f t="shared" si="8"/>
        <v>#N/A</v>
      </c>
    </row>
    <row r="200" spans="1:15" ht="22.05" customHeight="1" x14ac:dyDescent="0.3">
      <c r="A200" s="136">
        <v>156</v>
      </c>
      <c r="B200" s="165" t="str">
        <f>IF($A200&gt;MIN($A$10,$A$2),"",INDEX(DemoHistory[Date],$A200))</f>
        <v/>
      </c>
      <c r="C200" s="166" t="str">
        <f>IF(OR($A200&gt;MIN($A$10,$A$2),$A$5=""),"",INDEX(DemoHistory[],$A200,MATCH($A$5,DemoHistory[#Headers],0)))</f>
        <v/>
      </c>
      <c r="D200" s="166" t="str">
        <f>IF($A200&gt;MIN($A$10,$A$2),"",IF(AND($A$12,$A$6=1,B200&lt;$A$7,$A$7&lt;=MAX(DemoHistory[Date])),$A$8,1))</f>
        <v/>
      </c>
      <c r="E200" s="166" t="str">
        <f t="shared" si="6"/>
        <v/>
      </c>
      <c r="F200" s="166" t="str">
        <f>IF($A200&gt;MIN($A$10,$A$2),"",IF($A200&lt;50,"n.a.",IF(COUNT(INDEX(StockDaily[Adjusted close],MAX(1,$A200-50+1)):E200)=50,AVERAGE(INDEX(StockDaily[Adjusted close],MAX(1,$A200-50+1)):E200),"n.a.")))</f>
        <v/>
      </c>
      <c r="G200" s="166" t="str">
        <f>IF($A200&gt;MIN($A$10,$A$2),"",IF($A200&lt;200,"n.a.",IF(COUNT(INDEX(StockDaily[Adjusted close],MAX(1,$A200-200+1)):E200)=200,AVERAGE(INDEX(StockDaily[Adjusted close],MAX(1,$A200-200+1)):E200),"n.a.")))</f>
        <v/>
      </c>
      <c r="H200" s="136" t="str">
        <f>IF($A200&gt;MIN($A$10,$A$2),"",IF($A$5="","Choose stock",IF(NOT($A$12),"Check split rule",IF(NOT(ISNUMBER(B200)),"Invalid date",IF(OR(B200&lt;=0,B200&lt;&gt;INT(B200)),"Invalid date",IF(COUNTIFS(DemoHistory[Date],B200)&lt;&gt;1,"Duplicate date",IF(AND($A200&gt;1,B200&lt;=B199),"Dates out of order",IF(NOT(ISNUMBER(C200)),"Missing price",IF(C200&lt;=0,"Nonpositive price","OK")))))))))</f>
        <v/>
      </c>
      <c r="I200" s="136"/>
      <c r="J200" s="136"/>
      <c r="K200" s="136"/>
      <c r="L200" s="136"/>
      <c r="M200" s="136"/>
      <c r="N200" s="136" t="e">
        <f t="shared" si="7"/>
        <v>#N/A</v>
      </c>
      <c r="O200" s="136" t="e">
        <f t="shared" si="8"/>
        <v>#N/A</v>
      </c>
    </row>
    <row r="201" spans="1:15" ht="22.05" customHeight="1" x14ac:dyDescent="0.3">
      <c r="A201" s="136">
        <v>157</v>
      </c>
      <c r="B201" s="165" t="str">
        <f>IF($A201&gt;MIN($A$10,$A$2),"",INDEX(DemoHistory[Date],$A201))</f>
        <v/>
      </c>
      <c r="C201" s="166" t="str">
        <f>IF(OR($A201&gt;MIN($A$10,$A$2),$A$5=""),"",INDEX(DemoHistory[],$A201,MATCH($A$5,DemoHistory[#Headers],0)))</f>
        <v/>
      </c>
      <c r="D201" s="166" t="str">
        <f>IF($A201&gt;MIN($A$10,$A$2),"",IF(AND($A$12,$A$6=1,B201&lt;$A$7,$A$7&lt;=MAX(DemoHistory[Date])),$A$8,1))</f>
        <v/>
      </c>
      <c r="E201" s="166" t="str">
        <f t="shared" si="6"/>
        <v/>
      </c>
      <c r="F201" s="166" t="str">
        <f>IF($A201&gt;MIN($A$10,$A$2),"",IF($A201&lt;50,"n.a.",IF(COUNT(INDEX(StockDaily[Adjusted close],MAX(1,$A201-50+1)):E201)=50,AVERAGE(INDEX(StockDaily[Adjusted close],MAX(1,$A201-50+1)):E201),"n.a.")))</f>
        <v/>
      </c>
      <c r="G201" s="166" t="str">
        <f>IF($A201&gt;MIN($A$10,$A$2),"",IF($A201&lt;200,"n.a.",IF(COUNT(INDEX(StockDaily[Adjusted close],MAX(1,$A201-200+1)):E201)=200,AVERAGE(INDEX(StockDaily[Adjusted close],MAX(1,$A201-200+1)):E201),"n.a.")))</f>
        <v/>
      </c>
      <c r="H201" s="136" t="str">
        <f>IF($A201&gt;MIN($A$10,$A$2),"",IF($A$5="","Choose stock",IF(NOT($A$12),"Check split rule",IF(NOT(ISNUMBER(B201)),"Invalid date",IF(OR(B201&lt;=0,B201&lt;&gt;INT(B201)),"Invalid date",IF(COUNTIFS(DemoHistory[Date],B201)&lt;&gt;1,"Duplicate date",IF(AND($A201&gt;1,B201&lt;=B200),"Dates out of order",IF(NOT(ISNUMBER(C201)),"Missing price",IF(C201&lt;=0,"Nonpositive price","OK")))))))))</f>
        <v/>
      </c>
      <c r="I201" s="136"/>
      <c r="J201" s="136"/>
      <c r="K201" s="136"/>
      <c r="L201" s="136"/>
      <c r="M201" s="136"/>
      <c r="N201" s="136" t="e">
        <f t="shared" si="7"/>
        <v>#N/A</v>
      </c>
      <c r="O201" s="136" t="e">
        <f t="shared" si="8"/>
        <v>#N/A</v>
      </c>
    </row>
    <row r="202" spans="1:15" ht="22.05" customHeight="1" x14ac:dyDescent="0.3">
      <c r="A202" s="136">
        <v>158</v>
      </c>
      <c r="B202" s="165" t="str">
        <f>IF($A202&gt;MIN($A$10,$A$2),"",INDEX(DemoHistory[Date],$A202))</f>
        <v/>
      </c>
      <c r="C202" s="166" t="str">
        <f>IF(OR($A202&gt;MIN($A$10,$A$2),$A$5=""),"",INDEX(DemoHistory[],$A202,MATCH($A$5,DemoHistory[#Headers],0)))</f>
        <v/>
      </c>
      <c r="D202" s="166" t="str">
        <f>IF($A202&gt;MIN($A$10,$A$2),"",IF(AND($A$12,$A$6=1,B202&lt;$A$7,$A$7&lt;=MAX(DemoHistory[Date])),$A$8,1))</f>
        <v/>
      </c>
      <c r="E202" s="166" t="str">
        <f t="shared" si="6"/>
        <v/>
      </c>
      <c r="F202" s="166" t="str">
        <f>IF($A202&gt;MIN($A$10,$A$2),"",IF($A202&lt;50,"n.a.",IF(COUNT(INDEX(StockDaily[Adjusted close],MAX(1,$A202-50+1)):E202)=50,AVERAGE(INDEX(StockDaily[Adjusted close],MAX(1,$A202-50+1)):E202),"n.a.")))</f>
        <v/>
      </c>
      <c r="G202" s="166" t="str">
        <f>IF($A202&gt;MIN($A$10,$A$2),"",IF($A202&lt;200,"n.a.",IF(COUNT(INDEX(StockDaily[Adjusted close],MAX(1,$A202-200+1)):E202)=200,AVERAGE(INDEX(StockDaily[Adjusted close],MAX(1,$A202-200+1)):E202),"n.a.")))</f>
        <v/>
      </c>
      <c r="H202" s="136" t="str">
        <f>IF($A202&gt;MIN($A$10,$A$2),"",IF($A$5="","Choose stock",IF(NOT($A$12),"Check split rule",IF(NOT(ISNUMBER(B202)),"Invalid date",IF(OR(B202&lt;=0,B202&lt;&gt;INT(B202)),"Invalid date",IF(COUNTIFS(DemoHistory[Date],B202)&lt;&gt;1,"Duplicate date",IF(AND($A202&gt;1,B202&lt;=B201),"Dates out of order",IF(NOT(ISNUMBER(C202)),"Missing price",IF(C202&lt;=0,"Nonpositive price","OK")))))))))</f>
        <v/>
      </c>
      <c r="I202" s="136"/>
      <c r="J202" s="136"/>
      <c r="K202" s="136"/>
      <c r="L202" s="136"/>
      <c r="M202" s="136"/>
      <c r="N202" s="136" t="e">
        <f t="shared" si="7"/>
        <v>#N/A</v>
      </c>
      <c r="O202" s="136" t="e">
        <f t="shared" si="8"/>
        <v>#N/A</v>
      </c>
    </row>
    <row r="203" spans="1:15" ht="22.05" customHeight="1" x14ac:dyDescent="0.3">
      <c r="A203" s="136">
        <v>159</v>
      </c>
      <c r="B203" s="165" t="str">
        <f>IF($A203&gt;MIN($A$10,$A$2),"",INDEX(DemoHistory[Date],$A203))</f>
        <v/>
      </c>
      <c r="C203" s="166" t="str">
        <f>IF(OR($A203&gt;MIN($A$10,$A$2),$A$5=""),"",INDEX(DemoHistory[],$A203,MATCH($A$5,DemoHistory[#Headers],0)))</f>
        <v/>
      </c>
      <c r="D203" s="166" t="str">
        <f>IF($A203&gt;MIN($A$10,$A$2),"",IF(AND($A$12,$A$6=1,B203&lt;$A$7,$A$7&lt;=MAX(DemoHistory[Date])),$A$8,1))</f>
        <v/>
      </c>
      <c r="E203" s="166" t="str">
        <f t="shared" si="6"/>
        <v/>
      </c>
      <c r="F203" s="166" t="str">
        <f>IF($A203&gt;MIN($A$10,$A$2),"",IF($A203&lt;50,"n.a.",IF(COUNT(INDEX(StockDaily[Adjusted close],MAX(1,$A203-50+1)):E203)=50,AVERAGE(INDEX(StockDaily[Adjusted close],MAX(1,$A203-50+1)):E203),"n.a.")))</f>
        <v/>
      </c>
      <c r="G203" s="166" t="str">
        <f>IF($A203&gt;MIN($A$10,$A$2),"",IF($A203&lt;200,"n.a.",IF(COUNT(INDEX(StockDaily[Adjusted close],MAX(1,$A203-200+1)):E203)=200,AVERAGE(INDEX(StockDaily[Adjusted close],MAX(1,$A203-200+1)):E203),"n.a.")))</f>
        <v/>
      </c>
      <c r="H203" s="136" t="str">
        <f>IF($A203&gt;MIN($A$10,$A$2),"",IF($A$5="","Choose stock",IF(NOT($A$12),"Check split rule",IF(NOT(ISNUMBER(B203)),"Invalid date",IF(OR(B203&lt;=0,B203&lt;&gt;INT(B203)),"Invalid date",IF(COUNTIFS(DemoHistory[Date],B203)&lt;&gt;1,"Duplicate date",IF(AND($A203&gt;1,B203&lt;=B202),"Dates out of order",IF(NOT(ISNUMBER(C203)),"Missing price",IF(C203&lt;=0,"Nonpositive price","OK")))))))))</f>
        <v/>
      </c>
      <c r="I203" s="136"/>
      <c r="J203" s="136"/>
      <c r="K203" s="136"/>
      <c r="L203" s="136"/>
      <c r="M203" s="136"/>
      <c r="N203" s="136" t="e">
        <f t="shared" si="7"/>
        <v>#N/A</v>
      </c>
      <c r="O203" s="136" t="e">
        <f t="shared" si="8"/>
        <v>#N/A</v>
      </c>
    </row>
    <row r="204" spans="1:15" ht="22.05" customHeight="1" x14ac:dyDescent="0.3">
      <c r="A204" s="136">
        <v>160</v>
      </c>
      <c r="B204" s="165" t="str">
        <f>IF($A204&gt;MIN($A$10,$A$2),"",INDEX(DemoHistory[Date],$A204))</f>
        <v/>
      </c>
      <c r="C204" s="166" t="str">
        <f>IF(OR($A204&gt;MIN($A$10,$A$2),$A$5=""),"",INDEX(DemoHistory[],$A204,MATCH($A$5,DemoHistory[#Headers],0)))</f>
        <v/>
      </c>
      <c r="D204" s="166" t="str">
        <f>IF($A204&gt;MIN($A$10,$A$2),"",IF(AND($A$12,$A$6=1,B204&lt;$A$7,$A$7&lt;=MAX(DemoHistory[Date])),$A$8,1))</f>
        <v/>
      </c>
      <c r="E204" s="166" t="str">
        <f t="shared" si="6"/>
        <v/>
      </c>
      <c r="F204" s="166" t="str">
        <f>IF($A204&gt;MIN($A$10,$A$2),"",IF($A204&lt;50,"n.a.",IF(COUNT(INDEX(StockDaily[Adjusted close],MAX(1,$A204-50+1)):E204)=50,AVERAGE(INDEX(StockDaily[Adjusted close],MAX(1,$A204-50+1)):E204),"n.a.")))</f>
        <v/>
      </c>
      <c r="G204" s="166" t="str">
        <f>IF($A204&gt;MIN($A$10,$A$2),"",IF($A204&lt;200,"n.a.",IF(COUNT(INDEX(StockDaily[Adjusted close],MAX(1,$A204-200+1)):E204)=200,AVERAGE(INDEX(StockDaily[Adjusted close],MAX(1,$A204-200+1)):E204),"n.a.")))</f>
        <v/>
      </c>
      <c r="H204" s="136" t="str">
        <f>IF($A204&gt;MIN($A$10,$A$2),"",IF($A$5="","Choose stock",IF(NOT($A$12),"Check split rule",IF(NOT(ISNUMBER(B204)),"Invalid date",IF(OR(B204&lt;=0,B204&lt;&gt;INT(B204)),"Invalid date",IF(COUNTIFS(DemoHistory[Date],B204)&lt;&gt;1,"Duplicate date",IF(AND($A204&gt;1,B204&lt;=B203),"Dates out of order",IF(NOT(ISNUMBER(C204)),"Missing price",IF(C204&lt;=0,"Nonpositive price","OK")))))))))</f>
        <v/>
      </c>
      <c r="I204" s="136"/>
      <c r="J204" s="136"/>
      <c r="K204" s="136"/>
      <c r="L204" s="136"/>
      <c r="M204" s="136"/>
      <c r="N204" s="136" t="e">
        <f t="shared" si="7"/>
        <v>#N/A</v>
      </c>
      <c r="O204" s="136" t="e">
        <f t="shared" si="8"/>
        <v>#N/A</v>
      </c>
    </row>
    <row r="205" spans="1:15" ht="22.05" customHeight="1" x14ac:dyDescent="0.3">
      <c r="A205" s="136">
        <v>161</v>
      </c>
      <c r="B205" s="165" t="str">
        <f>IF($A205&gt;MIN($A$10,$A$2),"",INDEX(DemoHistory[Date],$A205))</f>
        <v/>
      </c>
      <c r="C205" s="166" t="str">
        <f>IF(OR($A205&gt;MIN($A$10,$A$2),$A$5=""),"",INDEX(DemoHistory[],$A205,MATCH($A$5,DemoHistory[#Headers],0)))</f>
        <v/>
      </c>
      <c r="D205" s="166" t="str">
        <f>IF($A205&gt;MIN($A$10,$A$2),"",IF(AND($A$12,$A$6=1,B205&lt;$A$7,$A$7&lt;=MAX(DemoHistory[Date])),$A$8,1))</f>
        <v/>
      </c>
      <c r="E205" s="166" t="str">
        <f t="shared" si="6"/>
        <v/>
      </c>
      <c r="F205" s="166" t="str">
        <f>IF($A205&gt;MIN($A$10,$A$2),"",IF($A205&lt;50,"n.a.",IF(COUNT(INDEX(StockDaily[Adjusted close],MAX(1,$A205-50+1)):E205)=50,AVERAGE(INDEX(StockDaily[Adjusted close],MAX(1,$A205-50+1)):E205),"n.a.")))</f>
        <v/>
      </c>
      <c r="G205" s="166" t="str">
        <f>IF($A205&gt;MIN($A$10,$A$2),"",IF($A205&lt;200,"n.a.",IF(COUNT(INDEX(StockDaily[Adjusted close],MAX(1,$A205-200+1)):E205)=200,AVERAGE(INDEX(StockDaily[Adjusted close],MAX(1,$A205-200+1)):E205),"n.a.")))</f>
        <v/>
      </c>
      <c r="H205" s="136" t="str">
        <f>IF($A205&gt;MIN($A$10,$A$2),"",IF($A$5="","Choose stock",IF(NOT($A$12),"Check split rule",IF(NOT(ISNUMBER(B205)),"Invalid date",IF(OR(B205&lt;=0,B205&lt;&gt;INT(B205)),"Invalid date",IF(COUNTIFS(DemoHistory[Date],B205)&lt;&gt;1,"Duplicate date",IF(AND($A205&gt;1,B205&lt;=B204),"Dates out of order",IF(NOT(ISNUMBER(C205)),"Missing price",IF(C205&lt;=0,"Nonpositive price","OK")))))))))</f>
        <v/>
      </c>
      <c r="I205" s="136"/>
      <c r="J205" s="136"/>
      <c r="K205" s="136"/>
      <c r="L205" s="136"/>
      <c r="M205" s="136"/>
      <c r="N205" s="136" t="e">
        <f t="shared" si="7"/>
        <v>#N/A</v>
      </c>
      <c r="O205" s="136" t="e">
        <f t="shared" si="8"/>
        <v>#N/A</v>
      </c>
    </row>
    <row r="206" spans="1:15" ht="22.05" customHeight="1" x14ac:dyDescent="0.3">
      <c r="A206" s="136">
        <v>162</v>
      </c>
      <c r="B206" s="165" t="str">
        <f>IF($A206&gt;MIN($A$10,$A$2),"",INDEX(DemoHistory[Date],$A206))</f>
        <v/>
      </c>
      <c r="C206" s="166" t="str">
        <f>IF(OR($A206&gt;MIN($A$10,$A$2),$A$5=""),"",INDEX(DemoHistory[],$A206,MATCH($A$5,DemoHistory[#Headers],0)))</f>
        <v/>
      </c>
      <c r="D206" s="166" t="str">
        <f>IF($A206&gt;MIN($A$10,$A$2),"",IF(AND($A$12,$A$6=1,B206&lt;$A$7,$A$7&lt;=MAX(DemoHistory[Date])),$A$8,1))</f>
        <v/>
      </c>
      <c r="E206" s="166" t="str">
        <f t="shared" si="6"/>
        <v/>
      </c>
      <c r="F206" s="166" t="str">
        <f>IF($A206&gt;MIN($A$10,$A$2),"",IF($A206&lt;50,"n.a.",IF(COUNT(INDEX(StockDaily[Adjusted close],MAX(1,$A206-50+1)):E206)=50,AVERAGE(INDEX(StockDaily[Adjusted close],MAX(1,$A206-50+1)):E206),"n.a.")))</f>
        <v/>
      </c>
      <c r="G206" s="166" t="str">
        <f>IF($A206&gt;MIN($A$10,$A$2),"",IF($A206&lt;200,"n.a.",IF(COUNT(INDEX(StockDaily[Adjusted close],MAX(1,$A206-200+1)):E206)=200,AVERAGE(INDEX(StockDaily[Adjusted close],MAX(1,$A206-200+1)):E206),"n.a.")))</f>
        <v/>
      </c>
      <c r="H206" s="136" t="str">
        <f>IF($A206&gt;MIN($A$10,$A$2),"",IF($A$5="","Choose stock",IF(NOT($A$12),"Check split rule",IF(NOT(ISNUMBER(B206)),"Invalid date",IF(OR(B206&lt;=0,B206&lt;&gt;INT(B206)),"Invalid date",IF(COUNTIFS(DemoHistory[Date],B206)&lt;&gt;1,"Duplicate date",IF(AND($A206&gt;1,B206&lt;=B205),"Dates out of order",IF(NOT(ISNUMBER(C206)),"Missing price",IF(C206&lt;=0,"Nonpositive price","OK")))))))))</f>
        <v/>
      </c>
      <c r="I206" s="136"/>
      <c r="J206" s="136"/>
      <c r="K206" s="136"/>
      <c r="L206" s="136"/>
      <c r="M206" s="136"/>
      <c r="N206" s="136" t="e">
        <f t="shared" si="7"/>
        <v>#N/A</v>
      </c>
      <c r="O206" s="136" t="e">
        <f t="shared" si="8"/>
        <v>#N/A</v>
      </c>
    </row>
    <row r="207" spans="1:15" ht="22.05" customHeight="1" x14ac:dyDescent="0.3">
      <c r="A207" s="136">
        <v>163</v>
      </c>
      <c r="B207" s="165" t="str">
        <f>IF($A207&gt;MIN($A$10,$A$2),"",INDEX(DemoHistory[Date],$A207))</f>
        <v/>
      </c>
      <c r="C207" s="166" t="str">
        <f>IF(OR($A207&gt;MIN($A$10,$A$2),$A$5=""),"",INDEX(DemoHistory[],$A207,MATCH($A$5,DemoHistory[#Headers],0)))</f>
        <v/>
      </c>
      <c r="D207" s="166" t="str">
        <f>IF($A207&gt;MIN($A$10,$A$2),"",IF(AND($A$12,$A$6=1,B207&lt;$A$7,$A$7&lt;=MAX(DemoHistory[Date])),$A$8,1))</f>
        <v/>
      </c>
      <c r="E207" s="166" t="str">
        <f t="shared" si="6"/>
        <v/>
      </c>
      <c r="F207" s="166" t="str">
        <f>IF($A207&gt;MIN($A$10,$A$2),"",IF($A207&lt;50,"n.a.",IF(COUNT(INDEX(StockDaily[Adjusted close],MAX(1,$A207-50+1)):E207)=50,AVERAGE(INDEX(StockDaily[Adjusted close],MAX(1,$A207-50+1)):E207),"n.a.")))</f>
        <v/>
      </c>
      <c r="G207" s="166" t="str">
        <f>IF($A207&gt;MIN($A$10,$A$2),"",IF($A207&lt;200,"n.a.",IF(COUNT(INDEX(StockDaily[Adjusted close],MAX(1,$A207-200+1)):E207)=200,AVERAGE(INDEX(StockDaily[Adjusted close],MAX(1,$A207-200+1)):E207),"n.a.")))</f>
        <v/>
      </c>
      <c r="H207" s="136" t="str">
        <f>IF($A207&gt;MIN($A$10,$A$2),"",IF($A$5="","Choose stock",IF(NOT($A$12),"Check split rule",IF(NOT(ISNUMBER(B207)),"Invalid date",IF(OR(B207&lt;=0,B207&lt;&gt;INT(B207)),"Invalid date",IF(COUNTIFS(DemoHistory[Date],B207)&lt;&gt;1,"Duplicate date",IF(AND($A207&gt;1,B207&lt;=B206),"Dates out of order",IF(NOT(ISNUMBER(C207)),"Missing price",IF(C207&lt;=0,"Nonpositive price","OK")))))))))</f>
        <v/>
      </c>
      <c r="I207" s="136"/>
      <c r="J207" s="136"/>
      <c r="K207" s="136"/>
      <c r="L207" s="136"/>
      <c r="M207" s="136"/>
      <c r="N207" s="136" t="e">
        <f t="shared" si="7"/>
        <v>#N/A</v>
      </c>
      <c r="O207" s="136" t="e">
        <f t="shared" si="8"/>
        <v>#N/A</v>
      </c>
    </row>
    <row r="208" spans="1:15" ht="22.05" customHeight="1" x14ac:dyDescent="0.3">
      <c r="A208" s="136">
        <v>164</v>
      </c>
      <c r="B208" s="165" t="str">
        <f>IF($A208&gt;MIN($A$10,$A$2),"",INDEX(DemoHistory[Date],$A208))</f>
        <v/>
      </c>
      <c r="C208" s="166" t="str">
        <f>IF(OR($A208&gt;MIN($A$10,$A$2),$A$5=""),"",INDEX(DemoHistory[],$A208,MATCH($A$5,DemoHistory[#Headers],0)))</f>
        <v/>
      </c>
      <c r="D208" s="166" t="str">
        <f>IF($A208&gt;MIN($A$10,$A$2),"",IF(AND($A$12,$A$6=1,B208&lt;$A$7,$A$7&lt;=MAX(DemoHistory[Date])),$A$8,1))</f>
        <v/>
      </c>
      <c r="E208" s="166" t="str">
        <f t="shared" si="6"/>
        <v/>
      </c>
      <c r="F208" s="166" t="str">
        <f>IF($A208&gt;MIN($A$10,$A$2),"",IF($A208&lt;50,"n.a.",IF(COUNT(INDEX(StockDaily[Adjusted close],MAX(1,$A208-50+1)):E208)=50,AVERAGE(INDEX(StockDaily[Adjusted close],MAX(1,$A208-50+1)):E208),"n.a.")))</f>
        <v/>
      </c>
      <c r="G208" s="166" t="str">
        <f>IF($A208&gt;MIN($A$10,$A$2),"",IF($A208&lt;200,"n.a.",IF(COUNT(INDEX(StockDaily[Adjusted close],MAX(1,$A208-200+1)):E208)=200,AVERAGE(INDEX(StockDaily[Adjusted close],MAX(1,$A208-200+1)):E208),"n.a.")))</f>
        <v/>
      </c>
      <c r="H208" s="136" t="str">
        <f>IF($A208&gt;MIN($A$10,$A$2),"",IF($A$5="","Choose stock",IF(NOT($A$12),"Check split rule",IF(NOT(ISNUMBER(B208)),"Invalid date",IF(OR(B208&lt;=0,B208&lt;&gt;INT(B208)),"Invalid date",IF(COUNTIFS(DemoHistory[Date],B208)&lt;&gt;1,"Duplicate date",IF(AND($A208&gt;1,B208&lt;=B207),"Dates out of order",IF(NOT(ISNUMBER(C208)),"Missing price",IF(C208&lt;=0,"Nonpositive price","OK")))))))))</f>
        <v/>
      </c>
      <c r="I208" s="136"/>
      <c r="J208" s="136"/>
      <c r="K208" s="136"/>
      <c r="L208" s="136"/>
      <c r="M208" s="136"/>
      <c r="N208" s="136" t="e">
        <f t="shared" si="7"/>
        <v>#N/A</v>
      </c>
      <c r="O208" s="136" t="e">
        <f t="shared" si="8"/>
        <v>#N/A</v>
      </c>
    </row>
    <row r="209" spans="1:15" ht="22.05" customHeight="1" x14ac:dyDescent="0.3">
      <c r="A209" s="136">
        <v>165</v>
      </c>
      <c r="B209" s="165" t="str">
        <f>IF($A209&gt;MIN($A$10,$A$2),"",INDEX(DemoHistory[Date],$A209))</f>
        <v/>
      </c>
      <c r="C209" s="166" t="str">
        <f>IF(OR($A209&gt;MIN($A$10,$A$2),$A$5=""),"",INDEX(DemoHistory[],$A209,MATCH($A$5,DemoHistory[#Headers],0)))</f>
        <v/>
      </c>
      <c r="D209" s="166" t="str">
        <f>IF($A209&gt;MIN($A$10,$A$2),"",IF(AND($A$12,$A$6=1,B209&lt;$A$7,$A$7&lt;=MAX(DemoHistory[Date])),$A$8,1))</f>
        <v/>
      </c>
      <c r="E209" s="166" t="str">
        <f t="shared" si="6"/>
        <v/>
      </c>
      <c r="F209" s="166" t="str">
        <f>IF($A209&gt;MIN($A$10,$A$2),"",IF($A209&lt;50,"n.a.",IF(COUNT(INDEX(StockDaily[Adjusted close],MAX(1,$A209-50+1)):E209)=50,AVERAGE(INDEX(StockDaily[Adjusted close],MAX(1,$A209-50+1)):E209),"n.a.")))</f>
        <v/>
      </c>
      <c r="G209" s="166" t="str">
        <f>IF($A209&gt;MIN($A$10,$A$2),"",IF($A209&lt;200,"n.a.",IF(COUNT(INDEX(StockDaily[Adjusted close],MAX(1,$A209-200+1)):E209)=200,AVERAGE(INDEX(StockDaily[Adjusted close],MAX(1,$A209-200+1)):E209),"n.a.")))</f>
        <v/>
      </c>
      <c r="H209" s="136" t="str">
        <f>IF($A209&gt;MIN($A$10,$A$2),"",IF($A$5="","Choose stock",IF(NOT($A$12),"Check split rule",IF(NOT(ISNUMBER(B209)),"Invalid date",IF(OR(B209&lt;=0,B209&lt;&gt;INT(B209)),"Invalid date",IF(COUNTIFS(DemoHistory[Date],B209)&lt;&gt;1,"Duplicate date",IF(AND($A209&gt;1,B209&lt;=B208),"Dates out of order",IF(NOT(ISNUMBER(C209)),"Missing price",IF(C209&lt;=0,"Nonpositive price","OK")))))))))</f>
        <v/>
      </c>
      <c r="I209" s="136"/>
      <c r="J209" s="136"/>
      <c r="K209" s="136"/>
      <c r="L209" s="136"/>
      <c r="M209" s="136"/>
      <c r="N209" s="136" t="e">
        <f t="shared" si="7"/>
        <v>#N/A</v>
      </c>
      <c r="O209" s="136" t="e">
        <f t="shared" si="8"/>
        <v>#N/A</v>
      </c>
    </row>
    <row r="210" spans="1:15" ht="22.05" customHeight="1" x14ac:dyDescent="0.3">
      <c r="A210" s="136">
        <v>166</v>
      </c>
      <c r="B210" s="165" t="str">
        <f>IF($A210&gt;MIN($A$10,$A$2),"",INDEX(DemoHistory[Date],$A210))</f>
        <v/>
      </c>
      <c r="C210" s="166" t="str">
        <f>IF(OR($A210&gt;MIN($A$10,$A$2),$A$5=""),"",INDEX(DemoHistory[],$A210,MATCH($A$5,DemoHistory[#Headers],0)))</f>
        <v/>
      </c>
      <c r="D210" s="166" t="str">
        <f>IF($A210&gt;MIN($A$10,$A$2),"",IF(AND($A$12,$A$6=1,B210&lt;$A$7,$A$7&lt;=MAX(DemoHistory[Date])),$A$8,1))</f>
        <v/>
      </c>
      <c r="E210" s="166" t="str">
        <f t="shared" si="6"/>
        <v/>
      </c>
      <c r="F210" s="166" t="str">
        <f>IF($A210&gt;MIN($A$10,$A$2),"",IF($A210&lt;50,"n.a.",IF(COUNT(INDEX(StockDaily[Adjusted close],MAX(1,$A210-50+1)):E210)=50,AVERAGE(INDEX(StockDaily[Adjusted close],MAX(1,$A210-50+1)):E210),"n.a.")))</f>
        <v/>
      </c>
      <c r="G210" s="166" t="str">
        <f>IF($A210&gt;MIN($A$10,$A$2),"",IF($A210&lt;200,"n.a.",IF(COUNT(INDEX(StockDaily[Adjusted close],MAX(1,$A210-200+1)):E210)=200,AVERAGE(INDEX(StockDaily[Adjusted close],MAX(1,$A210-200+1)):E210),"n.a.")))</f>
        <v/>
      </c>
      <c r="H210" s="136" t="str">
        <f>IF($A210&gt;MIN($A$10,$A$2),"",IF($A$5="","Choose stock",IF(NOT($A$12),"Check split rule",IF(NOT(ISNUMBER(B210)),"Invalid date",IF(OR(B210&lt;=0,B210&lt;&gt;INT(B210)),"Invalid date",IF(COUNTIFS(DemoHistory[Date],B210)&lt;&gt;1,"Duplicate date",IF(AND($A210&gt;1,B210&lt;=B209),"Dates out of order",IF(NOT(ISNUMBER(C210)),"Missing price",IF(C210&lt;=0,"Nonpositive price","OK")))))))))</f>
        <v/>
      </c>
      <c r="I210" s="136"/>
      <c r="J210" s="136"/>
      <c r="K210" s="136"/>
      <c r="L210" s="136"/>
      <c r="M210" s="136"/>
      <c r="N210" s="136" t="e">
        <f t="shared" si="7"/>
        <v>#N/A</v>
      </c>
      <c r="O210" s="136" t="e">
        <f t="shared" si="8"/>
        <v>#N/A</v>
      </c>
    </row>
    <row r="211" spans="1:15" ht="22.05" customHeight="1" x14ac:dyDescent="0.3">
      <c r="A211" s="136">
        <v>167</v>
      </c>
      <c r="B211" s="165" t="str">
        <f>IF($A211&gt;MIN($A$10,$A$2),"",INDEX(DemoHistory[Date],$A211))</f>
        <v/>
      </c>
      <c r="C211" s="166" t="str">
        <f>IF(OR($A211&gt;MIN($A$10,$A$2),$A$5=""),"",INDEX(DemoHistory[],$A211,MATCH($A$5,DemoHistory[#Headers],0)))</f>
        <v/>
      </c>
      <c r="D211" s="166" t="str">
        <f>IF($A211&gt;MIN($A$10,$A$2),"",IF(AND($A$12,$A$6=1,B211&lt;$A$7,$A$7&lt;=MAX(DemoHistory[Date])),$A$8,1))</f>
        <v/>
      </c>
      <c r="E211" s="166" t="str">
        <f t="shared" si="6"/>
        <v/>
      </c>
      <c r="F211" s="166" t="str">
        <f>IF($A211&gt;MIN($A$10,$A$2),"",IF($A211&lt;50,"n.a.",IF(COUNT(INDEX(StockDaily[Adjusted close],MAX(1,$A211-50+1)):E211)=50,AVERAGE(INDEX(StockDaily[Adjusted close],MAX(1,$A211-50+1)):E211),"n.a.")))</f>
        <v/>
      </c>
      <c r="G211" s="166" t="str">
        <f>IF($A211&gt;MIN($A$10,$A$2),"",IF($A211&lt;200,"n.a.",IF(COUNT(INDEX(StockDaily[Adjusted close],MAX(1,$A211-200+1)):E211)=200,AVERAGE(INDEX(StockDaily[Adjusted close],MAX(1,$A211-200+1)):E211),"n.a.")))</f>
        <v/>
      </c>
      <c r="H211" s="136" t="str">
        <f>IF($A211&gt;MIN($A$10,$A$2),"",IF($A$5="","Choose stock",IF(NOT($A$12),"Check split rule",IF(NOT(ISNUMBER(B211)),"Invalid date",IF(OR(B211&lt;=0,B211&lt;&gt;INT(B211)),"Invalid date",IF(COUNTIFS(DemoHistory[Date],B211)&lt;&gt;1,"Duplicate date",IF(AND($A211&gt;1,B211&lt;=B210),"Dates out of order",IF(NOT(ISNUMBER(C211)),"Missing price",IF(C211&lt;=0,"Nonpositive price","OK")))))))))</f>
        <v/>
      </c>
      <c r="I211" s="136"/>
      <c r="J211" s="136"/>
      <c r="K211" s="136"/>
      <c r="L211" s="136"/>
      <c r="M211" s="136"/>
      <c r="N211" s="136" t="e">
        <f t="shared" si="7"/>
        <v>#N/A</v>
      </c>
      <c r="O211" s="136" t="e">
        <f t="shared" si="8"/>
        <v>#N/A</v>
      </c>
    </row>
    <row r="212" spans="1:15" ht="22.05" customHeight="1" x14ac:dyDescent="0.3">
      <c r="A212" s="136">
        <v>168</v>
      </c>
      <c r="B212" s="165" t="str">
        <f>IF($A212&gt;MIN($A$10,$A$2),"",INDEX(DemoHistory[Date],$A212))</f>
        <v/>
      </c>
      <c r="C212" s="166" t="str">
        <f>IF(OR($A212&gt;MIN($A$10,$A$2),$A$5=""),"",INDEX(DemoHistory[],$A212,MATCH($A$5,DemoHistory[#Headers],0)))</f>
        <v/>
      </c>
      <c r="D212" s="166" t="str">
        <f>IF($A212&gt;MIN($A$10,$A$2),"",IF(AND($A$12,$A$6=1,B212&lt;$A$7,$A$7&lt;=MAX(DemoHistory[Date])),$A$8,1))</f>
        <v/>
      </c>
      <c r="E212" s="166" t="str">
        <f t="shared" si="6"/>
        <v/>
      </c>
      <c r="F212" s="166" t="str">
        <f>IF($A212&gt;MIN($A$10,$A$2),"",IF($A212&lt;50,"n.a.",IF(COUNT(INDEX(StockDaily[Adjusted close],MAX(1,$A212-50+1)):E212)=50,AVERAGE(INDEX(StockDaily[Adjusted close],MAX(1,$A212-50+1)):E212),"n.a.")))</f>
        <v/>
      </c>
      <c r="G212" s="166" t="str">
        <f>IF($A212&gt;MIN($A$10,$A$2),"",IF($A212&lt;200,"n.a.",IF(COUNT(INDEX(StockDaily[Adjusted close],MAX(1,$A212-200+1)):E212)=200,AVERAGE(INDEX(StockDaily[Adjusted close],MAX(1,$A212-200+1)):E212),"n.a.")))</f>
        <v/>
      </c>
      <c r="H212" s="136" t="str">
        <f>IF($A212&gt;MIN($A$10,$A$2),"",IF($A$5="","Choose stock",IF(NOT($A$12),"Check split rule",IF(NOT(ISNUMBER(B212)),"Invalid date",IF(OR(B212&lt;=0,B212&lt;&gt;INT(B212)),"Invalid date",IF(COUNTIFS(DemoHistory[Date],B212)&lt;&gt;1,"Duplicate date",IF(AND($A212&gt;1,B212&lt;=B211),"Dates out of order",IF(NOT(ISNUMBER(C212)),"Missing price",IF(C212&lt;=0,"Nonpositive price","OK")))))))))</f>
        <v/>
      </c>
      <c r="I212" s="136"/>
      <c r="J212" s="136"/>
      <c r="K212" s="136"/>
      <c r="L212" s="136"/>
      <c r="M212" s="136"/>
      <c r="N212" s="136" t="e">
        <f t="shared" si="7"/>
        <v>#N/A</v>
      </c>
      <c r="O212" s="136" t="e">
        <f t="shared" si="8"/>
        <v>#N/A</v>
      </c>
    </row>
    <row r="213" spans="1:15" ht="22.05" customHeight="1" x14ac:dyDescent="0.3">
      <c r="A213" s="136">
        <v>169</v>
      </c>
      <c r="B213" s="165" t="str">
        <f>IF($A213&gt;MIN($A$10,$A$2),"",INDEX(DemoHistory[Date],$A213))</f>
        <v/>
      </c>
      <c r="C213" s="166" t="str">
        <f>IF(OR($A213&gt;MIN($A$10,$A$2),$A$5=""),"",INDEX(DemoHistory[],$A213,MATCH($A$5,DemoHistory[#Headers],0)))</f>
        <v/>
      </c>
      <c r="D213" s="166" t="str">
        <f>IF($A213&gt;MIN($A$10,$A$2),"",IF(AND($A$12,$A$6=1,B213&lt;$A$7,$A$7&lt;=MAX(DemoHistory[Date])),$A$8,1))</f>
        <v/>
      </c>
      <c r="E213" s="166" t="str">
        <f t="shared" si="6"/>
        <v/>
      </c>
      <c r="F213" s="166" t="str">
        <f>IF($A213&gt;MIN($A$10,$A$2),"",IF($A213&lt;50,"n.a.",IF(COUNT(INDEX(StockDaily[Adjusted close],MAX(1,$A213-50+1)):E213)=50,AVERAGE(INDEX(StockDaily[Adjusted close],MAX(1,$A213-50+1)):E213),"n.a.")))</f>
        <v/>
      </c>
      <c r="G213" s="166" t="str">
        <f>IF($A213&gt;MIN($A$10,$A$2),"",IF($A213&lt;200,"n.a.",IF(COUNT(INDEX(StockDaily[Adjusted close],MAX(1,$A213-200+1)):E213)=200,AVERAGE(INDEX(StockDaily[Adjusted close],MAX(1,$A213-200+1)):E213),"n.a.")))</f>
        <v/>
      </c>
      <c r="H213" s="136" t="str">
        <f>IF($A213&gt;MIN($A$10,$A$2),"",IF($A$5="","Choose stock",IF(NOT($A$12),"Check split rule",IF(NOT(ISNUMBER(B213)),"Invalid date",IF(OR(B213&lt;=0,B213&lt;&gt;INT(B213)),"Invalid date",IF(COUNTIFS(DemoHistory[Date],B213)&lt;&gt;1,"Duplicate date",IF(AND($A213&gt;1,B213&lt;=B212),"Dates out of order",IF(NOT(ISNUMBER(C213)),"Missing price",IF(C213&lt;=0,"Nonpositive price","OK")))))))))</f>
        <v/>
      </c>
      <c r="I213" s="136"/>
      <c r="J213" s="136"/>
      <c r="K213" s="136"/>
      <c r="L213" s="136"/>
      <c r="M213" s="136"/>
      <c r="N213" s="136" t="e">
        <f t="shared" si="7"/>
        <v>#N/A</v>
      </c>
      <c r="O213" s="136" t="e">
        <f t="shared" si="8"/>
        <v>#N/A</v>
      </c>
    </row>
    <row r="214" spans="1:15" ht="22.05" customHeight="1" x14ac:dyDescent="0.3">
      <c r="A214" s="136">
        <v>170</v>
      </c>
      <c r="B214" s="165" t="str">
        <f>IF($A214&gt;MIN($A$10,$A$2),"",INDEX(DemoHistory[Date],$A214))</f>
        <v/>
      </c>
      <c r="C214" s="166" t="str">
        <f>IF(OR($A214&gt;MIN($A$10,$A$2),$A$5=""),"",INDEX(DemoHistory[],$A214,MATCH($A$5,DemoHistory[#Headers],0)))</f>
        <v/>
      </c>
      <c r="D214" s="166" t="str">
        <f>IF($A214&gt;MIN($A$10,$A$2),"",IF(AND($A$12,$A$6=1,B214&lt;$A$7,$A$7&lt;=MAX(DemoHistory[Date])),$A$8,1))</f>
        <v/>
      </c>
      <c r="E214" s="166" t="str">
        <f t="shared" si="6"/>
        <v/>
      </c>
      <c r="F214" s="166" t="str">
        <f>IF($A214&gt;MIN($A$10,$A$2),"",IF($A214&lt;50,"n.a.",IF(COUNT(INDEX(StockDaily[Adjusted close],MAX(1,$A214-50+1)):E214)=50,AVERAGE(INDEX(StockDaily[Adjusted close],MAX(1,$A214-50+1)):E214),"n.a.")))</f>
        <v/>
      </c>
      <c r="G214" s="166" t="str">
        <f>IF($A214&gt;MIN($A$10,$A$2),"",IF($A214&lt;200,"n.a.",IF(COUNT(INDEX(StockDaily[Adjusted close],MAX(1,$A214-200+1)):E214)=200,AVERAGE(INDEX(StockDaily[Adjusted close],MAX(1,$A214-200+1)):E214),"n.a.")))</f>
        <v/>
      </c>
      <c r="H214" s="136" t="str">
        <f>IF($A214&gt;MIN($A$10,$A$2),"",IF($A$5="","Choose stock",IF(NOT($A$12),"Check split rule",IF(NOT(ISNUMBER(B214)),"Invalid date",IF(OR(B214&lt;=0,B214&lt;&gt;INT(B214)),"Invalid date",IF(COUNTIFS(DemoHistory[Date],B214)&lt;&gt;1,"Duplicate date",IF(AND($A214&gt;1,B214&lt;=B213),"Dates out of order",IF(NOT(ISNUMBER(C214)),"Missing price",IF(C214&lt;=0,"Nonpositive price","OK")))))))))</f>
        <v/>
      </c>
      <c r="I214" s="136"/>
      <c r="J214" s="136"/>
      <c r="K214" s="136"/>
      <c r="L214" s="136"/>
      <c r="M214" s="136"/>
      <c r="N214" s="136" t="e">
        <f t="shared" si="7"/>
        <v>#N/A</v>
      </c>
      <c r="O214" s="136" t="e">
        <f t="shared" si="8"/>
        <v>#N/A</v>
      </c>
    </row>
    <row r="215" spans="1:15" ht="22.05" customHeight="1" x14ac:dyDescent="0.3">
      <c r="A215" s="136">
        <v>171</v>
      </c>
      <c r="B215" s="165" t="str">
        <f>IF($A215&gt;MIN($A$10,$A$2),"",INDEX(DemoHistory[Date],$A215))</f>
        <v/>
      </c>
      <c r="C215" s="166" t="str">
        <f>IF(OR($A215&gt;MIN($A$10,$A$2),$A$5=""),"",INDEX(DemoHistory[],$A215,MATCH($A$5,DemoHistory[#Headers],0)))</f>
        <v/>
      </c>
      <c r="D215" s="166" t="str">
        <f>IF($A215&gt;MIN($A$10,$A$2),"",IF(AND($A$12,$A$6=1,B215&lt;$A$7,$A$7&lt;=MAX(DemoHistory[Date])),$A$8,1))</f>
        <v/>
      </c>
      <c r="E215" s="166" t="str">
        <f t="shared" si="6"/>
        <v/>
      </c>
      <c r="F215" s="166" t="str">
        <f>IF($A215&gt;MIN($A$10,$A$2),"",IF($A215&lt;50,"n.a.",IF(COUNT(INDEX(StockDaily[Adjusted close],MAX(1,$A215-50+1)):E215)=50,AVERAGE(INDEX(StockDaily[Adjusted close],MAX(1,$A215-50+1)):E215),"n.a.")))</f>
        <v/>
      </c>
      <c r="G215" s="166" t="str">
        <f>IF($A215&gt;MIN($A$10,$A$2),"",IF($A215&lt;200,"n.a.",IF(COUNT(INDEX(StockDaily[Adjusted close],MAX(1,$A215-200+1)):E215)=200,AVERAGE(INDEX(StockDaily[Adjusted close],MAX(1,$A215-200+1)):E215),"n.a.")))</f>
        <v/>
      </c>
      <c r="H215" s="136" t="str">
        <f>IF($A215&gt;MIN($A$10,$A$2),"",IF($A$5="","Choose stock",IF(NOT($A$12),"Check split rule",IF(NOT(ISNUMBER(B215)),"Invalid date",IF(OR(B215&lt;=0,B215&lt;&gt;INT(B215)),"Invalid date",IF(COUNTIFS(DemoHistory[Date],B215)&lt;&gt;1,"Duplicate date",IF(AND($A215&gt;1,B215&lt;=B214),"Dates out of order",IF(NOT(ISNUMBER(C215)),"Missing price",IF(C215&lt;=0,"Nonpositive price","OK")))))))))</f>
        <v/>
      </c>
      <c r="I215" s="136"/>
      <c r="J215" s="136"/>
      <c r="K215" s="136"/>
      <c r="L215" s="136"/>
      <c r="M215" s="136"/>
      <c r="N215" s="136" t="e">
        <f t="shared" si="7"/>
        <v>#N/A</v>
      </c>
      <c r="O215" s="136" t="e">
        <f t="shared" si="8"/>
        <v>#N/A</v>
      </c>
    </row>
    <row r="216" spans="1:15" ht="22.05" customHeight="1" x14ac:dyDescent="0.3">
      <c r="A216" s="136">
        <v>172</v>
      </c>
      <c r="B216" s="165" t="str">
        <f>IF($A216&gt;MIN($A$10,$A$2),"",INDEX(DemoHistory[Date],$A216))</f>
        <v/>
      </c>
      <c r="C216" s="166" t="str">
        <f>IF(OR($A216&gt;MIN($A$10,$A$2),$A$5=""),"",INDEX(DemoHistory[],$A216,MATCH($A$5,DemoHistory[#Headers],0)))</f>
        <v/>
      </c>
      <c r="D216" s="166" t="str">
        <f>IF($A216&gt;MIN($A$10,$A$2),"",IF(AND($A$12,$A$6=1,B216&lt;$A$7,$A$7&lt;=MAX(DemoHistory[Date])),$A$8,1))</f>
        <v/>
      </c>
      <c r="E216" s="166" t="str">
        <f t="shared" si="6"/>
        <v/>
      </c>
      <c r="F216" s="166" t="str">
        <f>IF($A216&gt;MIN($A$10,$A$2),"",IF($A216&lt;50,"n.a.",IF(COUNT(INDEX(StockDaily[Adjusted close],MAX(1,$A216-50+1)):E216)=50,AVERAGE(INDEX(StockDaily[Adjusted close],MAX(1,$A216-50+1)):E216),"n.a.")))</f>
        <v/>
      </c>
      <c r="G216" s="166" t="str">
        <f>IF($A216&gt;MIN($A$10,$A$2),"",IF($A216&lt;200,"n.a.",IF(COUNT(INDEX(StockDaily[Adjusted close],MAX(1,$A216-200+1)):E216)=200,AVERAGE(INDEX(StockDaily[Adjusted close],MAX(1,$A216-200+1)):E216),"n.a.")))</f>
        <v/>
      </c>
      <c r="H216" s="136" t="str">
        <f>IF($A216&gt;MIN($A$10,$A$2),"",IF($A$5="","Choose stock",IF(NOT($A$12),"Check split rule",IF(NOT(ISNUMBER(B216)),"Invalid date",IF(OR(B216&lt;=0,B216&lt;&gt;INT(B216)),"Invalid date",IF(COUNTIFS(DemoHistory[Date],B216)&lt;&gt;1,"Duplicate date",IF(AND($A216&gt;1,B216&lt;=B215),"Dates out of order",IF(NOT(ISNUMBER(C216)),"Missing price",IF(C216&lt;=0,"Nonpositive price","OK")))))))))</f>
        <v/>
      </c>
      <c r="I216" s="136"/>
      <c r="J216" s="136"/>
      <c r="K216" s="136"/>
      <c r="L216" s="136"/>
      <c r="M216" s="136"/>
      <c r="N216" s="136" t="e">
        <f t="shared" si="7"/>
        <v>#N/A</v>
      </c>
      <c r="O216" s="136" t="e">
        <f t="shared" si="8"/>
        <v>#N/A</v>
      </c>
    </row>
    <row r="217" spans="1:15" ht="22.05" customHeight="1" x14ac:dyDescent="0.3">
      <c r="A217" s="136">
        <v>173</v>
      </c>
      <c r="B217" s="165" t="str">
        <f>IF($A217&gt;MIN($A$10,$A$2),"",INDEX(DemoHistory[Date],$A217))</f>
        <v/>
      </c>
      <c r="C217" s="166" t="str">
        <f>IF(OR($A217&gt;MIN($A$10,$A$2),$A$5=""),"",INDEX(DemoHistory[],$A217,MATCH($A$5,DemoHistory[#Headers],0)))</f>
        <v/>
      </c>
      <c r="D217" s="166" t="str">
        <f>IF($A217&gt;MIN($A$10,$A$2),"",IF(AND($A$12,$A$6=1,B217&lt;$A$7,$A$7&lt;=MAX(DemoHistory[Date])),$A$8,1))</f>
        <v/>
      </c>
      <c r="E217" s="166" t="str">
        <f t="shared" si="6"/>
        <v/>
      </c>
      <c r="F217" s="166" t="str">
        <f>IF($A217&gt;MIN($A$10,$A$2),"",IF($A217&lt;50,"n.a.",IF(COUNT(INDEX(StockDaily[Adjusted close],MAX(1,$A217-50+1)):E217)=50,AVERAGE(INDEX(StockDaily[Adjusted close],MAX(1,$A217-50+1)):E217),"n.a.")))</f>
        <v/>
      </c>
      <c r="G217" s="166" t="str">
        <f>IF($A217&gt;MIN($A$10,$A$2),"",IF($A217&lt;200,"n.a.",IF(COUNT(INDEX(StockDaily[Adjusted close],MAX(1,$A217-200+1)):E217)=200,AVERAGE(INDEX(StockDaily[Adjusted close],MAX(1,$A217-200+1)):E217),"n.a.")))</f>
        <v/>
      </c>
      <c r="H217" s="136" t="str">
        <f>IF($A217&gt;MIN($A$10,$A$2),"",IF($A$5="","Choose stock",IF(NOT($A$12),"Check split rule",IF(NOT(ISNUMBER(B217)),"Invalid date",IF(OR(B217&lt;=0,B217&lt;&gt;INT(B217)),"Invalid date",IF(COUNTIFS(DemoHistory[Date],B217)&lt;&gt;1,"Duplicate date",IF(AND($A217&gt;1,B217&lt;=B216),"Dates out of order",IF(NOT(ISNUMBER(C217)),"Missing price",IF(C217&lt;=0,"Nonpositive price","OK")))))))))</f>
        <v/>
      </c>
      <c r="I217" s="136"/>
      <c r="J217" s="136"/>
      <c r="K217" s="136"/>
      <c r="L217" s="136"/>
      <c r="M217" s="136"/>
      <c r="N217" s="136" t="e">
        <f t="shared" si="7"/>
        <v>#N/A</v>
      </c>
      <c r="O217" s="136" t="e">
        <f t="shared" si="8"/>
        <v>#N/A</v>
      </c>
    </row>
    <row r="218" spans="1:15" ht="22.05" customHeight="1" x14ac:dyDescent="0.3">
      <c r="A218" s="136">
        <v>174</v>
      </c>
      <c r="B218" s="165" t="str">
        <f>IF($A218&gt;MIN($A$10,$A$2),"",INDEX(DemoHistory[Date],$A218))</f>
        <v/>
      </c>
      <c r="C218" s="166" t="str">
        <f>IF(OR($A218&gt;MIN($A$10,$A$2),$A$5=""),"",INDEX(DemoHistory[],$A218,MATCH($A$5,DemoHistory[#Headers],0)))</f>
        <v/>
      </c>
      <c r="D218" s="166" t="str">
        <f>IF($A218&gt;MIN($A$10,$A$2),"",IF(AND($A$12,$A$6=1,B218&lt;$A$7,$A$7&lt;=MAX(DemoHistory[Date])),$A$8,1))</f>
        <v/>
      </c>
      <c r="E218" s="166" t="str">
        <f t="shared" si="6"/>
        <v/>
      </c>
      <c r="F218" s="166" t="str">
        <f>IF($A218&gt;MIN($A$10,$A$2),"",IF($A218&lt;50,"n.a.",IF(COUNT(INDEX(StockDaily[Adjusted close],MAX(1,$A218-50+1)):E218)=50,AVERAGE(INDEX(StockDaily[Adjusted close],MAX(1,$A218-50+1)):E218),"n.a.")))</f>
        <v/>
      </c>
      <c r="G218" s="166" t="str">
        <f>IF($A218&gt;MIN($A$10,$A$2),"",IF($A218&lt;200,"n.a.",IF(COUNT(INDEX(StockDaily[Adjusted close],MAX(1,$A218-200+1)):E218)=200,AVERAGE(INDEX(StockDaily[Adjusted close],MAX(1,$A218-200+1)):E218),"n.a.")))</f>
        <v/>
      </c>
      <c r="H218" s="136" t="str">
        <f>IF($A218&gt;MIN($A$10,$A$2),"",IF($A$5="","Choose stock",IF(NOT($A$12),"Check split rule",IF(NOT(ISNUMBER(B218)),"Invalid date",IF(OR(B218&lt;=0,B218&lt;&gt;INT(B218)),"Invalid date",IF(COUNTIFS(DemoHistory[Date],B218)&lt;&gt;1,"Duplicate date",IF(AND($A218&gt;1,B218&lt;=B217),"Dates out of order",IF(NOT(ISNUMBER(C218)),"Missing price",IF(C218&lt;=0,"Nonpositive price","OK")))))))))</f>
        <v/>
      </c>
      <c r="I218" s="136"/>
      <c r="J218" s="136"/>
      <c r="K218" s="136"/>
      <c r="L218" s="136"/>
      <c r="M218" s="136"/>
      <c r="N218" s="136" t="e">
        <f t="shared" si="7"/>
        <v>#N/A</v>
      </c>
      <c r="O218" s="136" t="e">
        <f t="shared" si="8"/>
        <v>#N/A</v>
      </c>
    </row>
    <row r="219" spans="1:15" ht="22.05" customHeight="1" x14ac:dyDescent="0.3">
      <c r="A219" s="136">
        <v>175</v>
      </c>
      <c r="B219" s="165" t="str">
        <f>IF($A219&gt;MIN($A$10,$A$2),"",INDEX(DemoHistory[Date],$A219))</f>
        <v/>
      </c>
      <c r="C219" s="166" t="str">
        <f>IF(OR($A219&gt;MIN($A$10,$A$2),$A$5=""),"",INDEX(DemoHistory[],$A219,MATCH($A$5,DemoHistory[#Headers],0)))</f>
        <v/>
      </c>
      <c r="D219" s="166" t="str">
        <f>IF($A219&gt;MIN($A$10,$A$2),"",IF(AND($A$12,$A$6=1,B219&lt;$A$7,$A$7&lt;=MAX(DemoHistory[Date])),$A$8,1))</f>
        <v/>
      </c>
      <c r="E219" s="166" t="str">
        <f t="shared" si="6"/>
        <v/>
      </c>
      <c r="F219" s="166" t="str">
        <f>IF($A219&gt;MIN($A$10,$A$2),"",IF($A219&lt;50,"n.a.",IF(COUNT(INDEX(StockDaily[Adjusted close],MAX(1,$A219-50+1)):E219)=50,AVERAGE(INDEX(StockDaily[Adjusted close],MAX(1,$A219-50+1)):E219),"n.a.")))</f>
        <v/>
      </c>
      <c r="G219" s="166" t="str">
        <f>IF($A219&gt;MIN($A$10,$A$2),"",IF($A219&lt;200,"n.a.",IF(COUNT(INDEX(StockDaily[Adjusted close],MAX(1,$A219-200+1)):E219)=200,AVERAGE(INDEX(StockDaily[Adjusted close],MAX(1,$A219-200+1)):E219),"n.a.")))</f>
        <v/>
      </c>
      <c r="H219" s="136" t="str">
        <f>IF($A219&gt;MIN($A$10,$A$2),"",IF($A$5="","Choose stock",IF(NOT($A$12),"Check split rule",IF(NOT(ISNUMBER(B219)),"Invalid date",IF(OR(B219&lt;=0,B219&lt;&gt;INT(B219)),"Invalid date",IF(COUNTIFS(DemoHistory[Date],B219)&lt;&gt;1,"Duplicate date",IF(AND($A219&gt;1,B219&lt;=B218),"Dates out of order",IF(NOT(ISNUMBER(C219)),"Missing price",IF(C219&lt;=0,"Nonpositive price","OK")))))))))</f>
        <v/>
      </c>
      <c r="I219" s="136"/>
      <c r="J219" s="136"/>
      <c r="K219" s="136"/>
      <c r="L219" s="136"/>
      <c r="M219" s="136"/>
      <c r="N219" s="136" t="e">
        <f t="shared" si="7"/>
        <v>#N/A</v>
      </c>
      <c r="O219" s="136" t="e">
        <f t="shared" si="8"/>
        <v>#N/A</v>
      </c>
    </row>
    <row r="220" spans="1:15" ht="22.05" customHeight="1" x14ac:dyDescent="0.3">
      <c r="A220" s="136">
        <v>176</v>
      </c>
      <c r="B220" s="165" t="str">
        <f>IF($A220&gt;MIN($A$10,$A$2),"",INDEX(DemoHistory[Date],$A220))</f>
        <v/>
      </c>
      <c r="C220" s="166" t="str">
        <f>IF(OR($A220&gt;MIN($A$10,$A$2),$A$5=""),"",INDEX(DemoHistory[],$A220,MATCH($A$5,DemoHistory[#Headers],0)))</f>
        <v/>
      </c>
      <c r="D220" s="166" t="str">
        <f>IF($A220&gt;MIN($A$10,$A$2),"",IF(AND($A$12,$A$6=1,B220&lt;$A$7,$A$7&lt;=MAX(DemoHistory[Date])),$A$8,1))</f>
        <v/>
      </c>
      <c r="E220" s="166" t="str">
        <f t="shared" si="6"/>
        <v/>
      </c>
      <c r="F220" s="166" t="str">
        <f>IF($A220&gt;MIN($A$10,$A$2),"",IF($A220&lt;50,"n.a.",IF(COUNT(INDEX(StockDaily[Adjusted close],MAX(1,$A220-50+1)):E220)=50,AVERAGE(INDEX(StockDaily[Adjusted close],MAX(1,$A220-50+1)):E220),"n.a.")))</f>
        <v/>
      </c>
      <c r="G220" s="166" t="str">
        <f>IF($A220&gt;MIN($A$10,$A$2),"",IF($A220&lt;200,"n.a.",IF(COUNT(INDEX(StockDaily[Adjusted close],MAX(1,$A220-200+1)):E220)=200,AVERAGE(INDEX(StockDaily[Adjusted close],MAX(1,$A220-200+1)):E220),"n.a.")))</f>
        <v/>
      </c>
      <c r="H220" s="136" t="str">
        <f>IF($A220&gt;MIN($A$10,$A$2),"",IF($A$5="","Choose stock",IF(NOT($A$12),"Check split rule",IF(NOT(ISNUMBER(B220)),"Invalid date",IF(OR(B220&lt;=0,B220&lt;&gt;INT(B220)),"Invalid date",IF(COUNTIFS(DemoHistory[Date],B220)&lt;&gt;1,"Duplicate date",IF(AND($A220&gt;1,B220&lt;=B219),"Dates out of order",IF(NOT(ISNUMBER(C220)),"Missing price",IF(C220&lt;=0,"Nonpositive price","OK")))))))))</f>
        <v/>
      </c>
      <c r="I220" s="136"/>
      <c r="J220" s="136"/>
      <c r="K220" s="136"/>
      <c r="L220" s="136"/>
      <c r="M220" s="136"/>
      <c r="N220" s="136" t="e">
        <f t="shared" si="7"/>
        <v>#N/A</v>
      </c>
      <c r="O220" s="136" t="e">
        <f t="shared" si="8"/>
        <v>#N/A</v>
      </c>
    </row>
    <row r="221" spans="1:15" ht="22.05" customHeight="1" x14ac:dyDescent="0.3">
      <c r="A221" s="136">
        <v>177</v>
      </c>
      <c r="B221" s="165" t="str">
        <f>IF($A221&gt;MIN($A$10,$A$2),"",INDEX(DemoHistory[Date],$A221))</f>
        <v/>
      </c>
      <c r="C221" s="166" t="str">
        <f>IF(OR($A221&gt;MIN($A$10,$A$2),$A$5=""),"",INDEX(DemoHistory[],$A221,MATCH($A$5,DemoHistory[#Headers],0)))</f>
        <v/>
      </c>
      <c r="D221" s="166" t="str">
        <f>IF($A221&gt;MIN($A$10,$A$2),"",IF(AND($A$12,$A$6=1,B221&lt;$A$7,$A$7&lt;=MAX(DemoHistory[Date])),$A$8,1))</f>
        <v/>
      </c>
      <c r="E221" s="166" t="str">
        <f t="shared" si="6"/>
        <v/>
      </c>
      <c r="F221" s="166" t="str">
        <f>IF($A221&gt;MIN($A$10,$A$2),"",IF($A221&lt;50,"n.a.",IF(COUNT(INDEX(StockDaily[Adjusted close],MAX(1,$A221-50+1)):E221)=50,AVERAGE(INDEX(StockDaily[Adjusted close],MAX(1,$A221-50+1)):E221),"n.a.")))</f>
        <v/>
      </c>
      <c r="G221" s="166" t="str">
        <f>IF($A221&gt;MIN($A$10,$A$2),"",IF($A221&lt;200,"n.a.",IF(COUNT(INDEX(StockDaily[Adjusted close],MAX(1,$A221-200+1)):E221)=200,AVERAGE(INDEX(StockDaily[Adjusted close],MAX(1,$A221-200+1)):E221),"n.a.")))</f>
        <v/>
      </c>
      <c r="H221" s="136" t="str">
        <f>IF($A221&gt;MIN($A$10,$A$2),"",IF($A$5="","Choose stock",IF(NOT($A$12),"Check split rule",IF(NOT(ISNUMBER(B221)),"Invalid date",IF(OR(B221&lt;=0,B221&lt;&gt;INT(B221)),"Invalid date",IF(COUNTIFS(DemoHistory[Date],B221)&lt;&gt;1,"Duplicate date",IF(AND($A221&gt;1,B221&lt;=B220),"Dates out of order",IF(NOT(ISNUMBER(C221)),"Missing price",IF(C221&lt;=0,"Nonpositive price","OK")))))))))</f>
        <v/>
      </c>
      <c r="I221" s="136"/>
      <c r="J221" s="136"/>
      <c r="K221" s="136"/>
      <c r="L221" s="136"/>
      <c r="M221" s="136"/>
      <c r="N221" s="136" t="e">
        <f t="shared" si="7"/>
        <v>#N/A</v>
      </c>
      <c r="O221" s="136" t="e">
        <f t="shared" si="8"/>
        <v>#N/A</v>
      </c>
    </row>
    <row r="222" spans="1:15" ht="22.05" customHeight="1" x14ac:dyDescent="0.3">
      <c r="A222" s="136">
        <v>178</v>
      </c>
      <c r="B222" s="165" t="str">
        <f>IF($A222&gt;MIN($A$10,$A$2),"",INDEX(DemoHistory[Date],$A222))</f>
        <v/>
      </c>
      <c r="C222" s="166" t="str">
        <f>IF(OR($A222&gt;MIN($A$10,$A$2),$A$5=""),"",INDEX(DemoHistory[],$A222,MATCH($A$5,DemoHistory[#Headers],0)))</f>
        <v/>
      </c>
      <c r="D222" s="166" t="str">
        <f>IF($A222&gt;MIN($A$10,$A$2),"",IF(AND($A$12,$A$6=1,B222&lt;$A$7,$A$7&lt;=MAX(DemoHistory[Date])),$A$8,1))</f>
        <v/>
      </c>
      <c r="E222" s="166" t="str">
        <f t="shared" si="6"/>
        <v/>
      </c>
      <c r="F222" s="166" t="str">
        <f>IF($A222&gt;MIN($A$10,$A$2),"",IF($A222&lt;50,"n.a.",IF(COUNT(INDEX(StockDaily[Adjusted close],MAX(1,$A222-50+1)):E222)=50,AVERAGE(INDEX(StockDaily[Adjusted close],MAX(1,$A222-50+1)):E222),"n.a.")))</f>
        <v/>
      </c>
      <c r="G222" s="166" t="str">
        <f>IF($A222&gt;MIN($A$10,$A$2),"",IF($A222&lt;200,"n.a.",IF(COUNT(INDEX(StockDaily[Adjusted close],MAX(1,$A222-200+1)):E222)=200,AVERAGE(INDEX(StockDaily[Adjusted close],MAX(1,$A222-200+1)):E222),"n.a.")))</f>
        <v/>
      </c>
      <c r="H222" s="136" t="str">
        <f>IF($A222&gt;MIN($A$10,$A$2),"",IF($A$5="","Choose stock",IF(NOT($A$12),"Check split rule",IF(NOT(ISNUMBER(B222)),"Invalid date",IF(OR(B222&lt;=0,B222&lt;&gt;INT(B222)),"Invalid date",IF(COUNTIFS(DemoHistory[Date],B222)&lt;&gt;1,"Duplicate date",IF(AND($A222&gt;1,B222&lt;=B221),"Dates out of order",IF(NOT(ISNUMBER(C222)),"Missing price",IF(C222&lt;=0,"Nonpositive price","OK")))))))))</f>
        <v/>
      </c>
      <c r="I222" s="136"/>
      <c r="J222" s="136"/>
      <c r="K222" s="136"/>
      <c r="L222" s="136"/>
      <c r="M222" s="136"/>
      <c r="N222" s="136" t="e">
        <f t="shared" si="7"/>
        <v>#N/A</v>
      </c>
      <c r="O222" s="136" t="e">
        <f t="shared" si="8"/>
        <v>#N/A</v>
      </c>
    </row>
    <row r="223" spans="1:15" ht="22.05" customHeight="1" x14ac:dyDescent="0.3">
      <c r="A223" s="136">
        <v>179</v>
      </c>
      <c r="B223" s="165" t="str">
        <f>IF($A223&gt;MIN($A$10,$A$2),"",INDEX(DemoHistory[Date],$A223))</f>
        <v/>
      </c>
      <c r="C223" s="166" t="str">
        <f>IF(OR($A223&gt;MIN($A$10,$A$2),$A$5=""),"",INDEX(DemoHistory[],$A223,MATCH($A$5,DemoHistory[#Headers],0)))</f>
        <v/>
      </c>
      <c r="D223" s="166" t="str">
        <f>IF($A223&gt;MIN($A$10,$A$2),"",IF(AND($A$12,$A$6=1,B223&lt;$A$7,$A$7&lt;=MAX(DemoHistory[Date])),$A$8,1))</f>
        <v/>
      </c>
      <c r="E223" s="166" t="str">
        <f t="shared" si="6"/>
        <v/>
      </c>
      <c r="F223" s="166" t="str">
        <f>IF($A223&gt;MIN($A$10,$A$2),"",IF($A223&lt;50,"n.a.",IF(COUNT(INDEX(StockDaily[Adjusted close],MAX(1,$A223-50+1)):E223)=50,AVERAGE(INDEX(StockDaily[Adjusted close],MAX(1,$A223-50+1)):E223),"n.a.")))</f>
        <v/>
      </c>
      <c r="G223" s="166" t="str">
        <f>IF($A223&gt;MIN($A$10,$A$2),"",IF($A223&lt;200,"n.a.",IF(COUNT(INDEX(StockDaily[Adjusted close],MAX(1,$A223-200+1)):E223)=200,AVERAGE(INDEX(StockDaily[Adjusted close],MAX(1,$A223-200+1)):E223),"n.a.")))</f>
        <v/>
      </c>
      <c r="H223" s="136" t="str">
        <f>IF($A223&gt;MIN($A$10,$A$2),"",IF($A$5="","Choose stock",IF(NOT($A$12),"Check split rule",IF(NOT(ISNUMBER(B223)),"Invalid date",IF(OR(B223&lt;=0,B223&lt;&gt;INT(B223)),"Invalid date",IF(COUNTIFS(DemoHistory[Date],B223)&lt;&gt;1,"Duplicate date",IF(AND($A223&gt;1,B223&lt;=B222),"Dates out of order",IF(NOT(ISNUMBER(C223)),"Missing price",IF(C223&lt;=0,"Nonpositive price","OK")))))))))</f>
        <v/>
      </c>
      <c r="I223" s="136"/>
      <c r="J223" s="136"/>
      <c r="K223" s="136"/>
      <c r="L223" s="136"/>
      <c r="M223" s="136"/>
      <c r="N223" s="136" t="e">
        <f t="shared" si="7"/>
        <v>#N/A</v>
      </c>
      <c r="O223" s="136" t="e">
        <f t="shared" si="8"/>
        <v>#N/A</v>
      </c>
    </row>
    <row r="224" spans="1:15" ht="22.05" customHeight="1" x14ac:dyDescent="0.3">
      <c r="A224" s="136">
        <v>180</v>
      </c>
      <c r="B224" s="165" t="str">
        <f>IF($A224&gt;MIN($A$10,$A$2),"",INDEX(DemoHistory[Date],$A224))</f>
        <v/>
      </c>
      <c r="C224" s="166" t="str">
        <f>IF(OR($A224&gt;MIN($A$10,$A$2),$A$5=""),"",INDEX(DemoHistory[],$A224,MATCH($A$5,DemoHistory[#Headers],0)))</f>
        <v/>
      </c>
      <c r="D224" s="166" t="str">
        <f>IF($A224&gt;MIN($A$10,$A$2),"",IF(AND($A$12,$A$6=1,B224&lt;$A$7,$A$7&lt;=MAX(DemoHistory[Date])),$A$8,1))</f>
        <v/>
      </c>
      <c r="E224" s="166" t="str">
        <f t="shared" si="6"/>
        <v/>
      </c>
      <c r="F224" s="166" t="str">
        <f>IF($A224&gt;MIN($A$10,$A$2),"",IF($A224&lt;50,"n.a.",IF(COUNT(INDEX(StockDaily[Adjusted close],MAX(1,$A224-50+1)):E224)=50,AVERAGE(INDEX(StockDaily[Adjusted close],MAX(1,$A224-50+1)):E224),"n.a.")))</f>
        <v/>
      </c>
      <c r="G224" s="166" t="str">
        <f>IF($A224&gt;MIN($A$10,$A$2),"",IF($A224&lt;200,"n.a.",IF(COUNT(INDEX(StockDaily[Adjusted close],MAX(1,$A224-200+1)):E224)=200,AVERAGE(INDEX(StockDaily[Adjusted close],MAX(1,$A224-200+1)):E224),"n.a.")))</f>
        <v/>
      </c>
      <c r="H224" s="136" t="str">
        <f>IF($A224&gt;MIN($A$10,$A$2),"",IF($A$5="","Choose stock",IF(NOT($A$12),"Check split rule",IF(NOT(ISNUMBER(B224)),"Invalid date",IF(OR(B224&lt;=0,B224&lt;&gt;INT(B224)),"Invalid date",IF(COUNTIFS(DemoHistory[Date],B224)&lt;&gt;1,"Duplicate date",IF(AND($A224&gt;1,B224&lt;=B223),"Dates out of order",IF(NOT(ISNUMBER(C224)),"Missing price",IF(C224&lt;=0,"Nonpositive price","OK")))))))))</f>
        <v/>
      </c>
      <c r="I224" s="136"/>
      <c r="J224" s="136"/>
      <c r="K224" s="136"/>
      <c r="L224" s="136"/>
      <c r="M224" s="136"/>
      <c r="N224" s="136" t="e">
        <f t="shared" si="7"/>
        <v>#N/A</v>
      </c>
      <c r="O224" s="136" t="e">
        <f t="shared" si="8"/>
        <v>#N/A</v>
      </c>
    </row>
    <row r="225" spans="1:15" ht="22.05" customHeight="1" x14ac:dyDescent="0.3">
      <c r="A225" s="136">
        <v>181</v>
      </c>
      <c r="B225" s="165" t="str">
        <f>IF($A225&gt;MIN($A$10,$A$2),"",INDEX(DemoHistory[Date],$A225))</f>
        <v/>
      </c>
      <c r="C225" s="166" t="str">
        <f>IF(OR($A225&gt;MIN($A$10,$A$2),$A$5=""),"",INDEX(DemoHistory[],$A225,MATCH($A$5,DemoHistory[#Headers],0)))</f>
        <v/>
      </c>
      <c r="D225" s="166" t="str">
        <f>IF($A225&gt;MIN($A$10,$A$2),"",IF(AND($A$12,$A$6=1,B225&lt;$A$7,$A$7&lt;=MAX(DemoHistory[Date])),$A$8,1))</f>
        <v/>
      </c>
      <c r="E225" s="166" t="str">
        <f t="shared" si="6"/>
        <v/>
      </c>
      <c r="F225" s="166" t="str">
        <f>IF($A225&gt;MIN($A$10,$A$2),"",IF($A225&lt;50,"n.a.",IF(COUNT(INDEX(StockDaily[Adjusted close],MAX(1,$A225-50+1)):E225)=50,AVERAGE(INDEX(StockDaily[Adjusted close],MAX(1,$A225-50+1)):E225),"n.a.")))</f>
        <v/>
      </c>
      <c r="G225" s="166" t="str">
        <f>IF($A225&gt;MIN($A$10,$A$2),"",IF($A225&lt;200,"n.a.",IF(COUNT(INDEX(StockDaily[Adjusted close],MAX(1,$A225-200+1)):E225)=200,AVERAGE(INDEX(StockDaily[Adjusted close],MAX(1,$A225-200+1)):E225),"n.a.")))</f>
        <v/>
      </c>
      <c r="H225" s="136" t="str">
        <f>IF($A225&gt;MIN($A$10,$A$2),"",IF($A$5="","Choose stock",IF(NOT($A$12),"Check split rule",IF(NOT(ISNUMBER(B225)),"Invalid date",IF(OR(B225&lt;=0,B225&lt;&gt;INT(B225)),"Invalid date",IF(COUNTIFS(DemoHistory[Date],B225)&lt;&gt;1,"Duplicate date",IF(AND($A225&gt;1,B225&lt;=B224),"Dates out of order",IF(NOT(ISNUMBER(C225)),"Missing price",IF(C225&lt;=0,"Nonpositive price","OK")))))))))</f>
        <v/>
      </c>
      <c r="I225" s="136"/>
      <c r="J225" s="136"/>
      <c r="K225" s="136"/>
      <c r="L225" s="136"/>
      <c r="M225" s="136"/>
      <c r="N225" s="136" t="e">
        <f t="shared" si="7"/>
        <v>#N/A</v>
      </c>
      <c r="O225" s="136" t="e">
        <f t="shared" si="8"/>
        <v>#N/A</v>
      </c>
    </row>
    <row r="226" spans="1:15" ht="22.05" customHeight="1" x14ac:dyDescent="0.3">
      <c r="A226" s="136">
        <v>182</v>
      </c>
      <c r="B226" s="165" t="str">
        <f>IF($A226&gt;MIN($A$10,$A$2),"",INDEX(DemoHistory[Date],$A226))</f>
        <v/>
      </c>
      <c r="C226" s="166" t="str">
        <f>IF(OR($A226&gt;MIN($A$10,$A$2),$A$5=""),"",INDEX(DemoHistory[],$A226,MATCH($A$5,DemoHistory[#Headers],0)))</f>
        <v/>
      </c>
      <c r="D226" s="166" t="str">
        <f>IF($A226&gt;MIN($A$10,$A$2),"",IF(AND($A$12,$A$6=1,B226&lt;$A$7,$A$7&lt;=MAX(DemoHistory[Date])),$A$8,1))</f>
        <v/>
      </c>
      <c r="E226" s="166" t="str">
        <f t="shared" si="6"/>
        <v/>
      </c>
      <c r="F226" s="166" t="str">
        <f>IF($A226&gt;MIN($A$10,$A$2),"",IF($A226&lt;50,"n.a.",IF(COUNT(INDEX(StockDaily[Adjusted close],MAX(1,$A226-50+1)):E226)=50,AVERAGE(INDEX(StockDaily[Adjusted close],MAX(1,$A226-50+1)):E226),"n.a.")))</f>
        <v/>
      </c>
      <c r="G226" s="166" t="str">
        <f>IF($A226&gt;MIN($A$10,$A$2),"",IF($A226&lt;200,"n.a.",IF(COUNT(INDEX(StockDaily[Adjusted close],MAX(1,$A226-200+1)):E226)=200,AVERAGE(INDEX(StockDaily[Adjusted close],MAX(1,$A226-200+1)):E226),"n.a.")))</f>
        <v/>
      </c>
      <c r="H226" s="136" t="str">
        <f>IF($A226&gt;MIN($A$10,$A$2),"",IF($A$5="","Choose stock",IF(NOT($A$12),"Check split rule",IF(NOT(ISNUMBER(B226)),"Invalid date",IF(OR(B226&lt;=0,B226&lt;&gt;INT(B226)),"Invalid date",IF(COUNTIFS(DemoHistory[Date],B226)&lt;&gt;1,"Duplicate date",IF(AND($A226&gt;1,B226&lt;=B225),"Dates out of order",IF(NOT(ISNUMBER(C226)),"Missing price",IF(C226&lt;=0,"Nonpositive price","OK")))))))))</f>
        <v/>
      </c>
      <c r="I226" s="136"/>
      <c r="J226" s="136"/>
      <c r="K226" s="136"/>
      <c r="L226" s="136"/>
      <c r="M226" s="136"/>
      <c r="N226" s="136" t="e">
        <f t="shared" si="7"/>
        <v>#N/A</v>
      </c>
      <c r="O226" s="136" t="e">
        <f t="shared" si="8"/>
        <v>#N/A</v>
      </c>
    </row>
    <row r="227" spans="1:15" ht="22.05" customHeight="1" x14ac:dyDescent="0.3">
      <c r="A227" s="136">
        <v>183</v>
      </c>
      <c r="B227" s="165" t="str">
        <f>IF($A227&gt;MIN($A$10,$A$2),"",INDEX(DemoHistory[Date],$A227))</f>
        <v/>
      </c>
      <c r="C227" s="166" t="str">
        <f>IF(OR($A227&gt;MIN($A$10,$A$2),$A$5=""),"",INDEX(DemoHistory[],$A227,MATCH($A$5,DemoHistory[#Headers],0)))</f>
        <v/>
      </c>
      <c r="D227" s="166" t="str">
        <f>IF($A227&gt;MIN($A$10,$A$2),"",IF(AND($A$12,$A$6=1,B227&lt;$A$7,$A$7&lt;=MAX(DemoHistory[Date])),$A$8,1))</f>
        <v/>
      </c>
      <c r="E227" s="166" t="str">
        <f t="shared" si="6"/>
        <v/>
      </c>
      <c r="F227" s="166" t="str">
        <f>IF($A227&gt;MIN($A$10,$A$2),"",IF($A227&lt;50,"n.a.",IF(COUNT(INDEX(StockDaily[Adjusted close],MAX(1,$A227-50+1)):E227)=50,AVERAGE(INDEX(StockDaily[Adjusted close],MAX(1,$A227-50+1)):E227),"n.a.")))</f>
        <v/>
      </c>
      <c r="G227" s="166" t="str">
        <f>IF($A227&gt;MIN($A$10,$A$2),"",IF($A227&lt;200,"n.a.",IF(COUNT(INDEX(StockDaily[Adjusted close],MAX(1,$A227-200+1)):E227)=200,AVERAGE(INDEX(StockDaily[Adjusted close],MAX(1,$A227-200+1)):E227),"n.a.")))</f>
        <v/>
      </c>
      <c r="H227" s="136" t="str">
        <f>IF($A227&gt;MIN($A$10,$A$2),"",IF($A$5="","Choose stock",IF(NOT($A$12),"Check split rule",IF(NOT(ISNUMBER(B227)),"Invalid date",IF(OR(B227&lt;=0,B227&lt;&gt;INT(B227)),"Invalid date",IF(COUNTIFS(DemoHistory[Date],B227)&lt;&gt;1,"Duplicate date",IF(AND($A227&gt;1,B227&lt;=B226),"Dates out of order",IF(NOT(ISNUMBER(C227)),"Missing price",IF(C227&lt;=0,"Nonpositive price","OK")))))))))</f>
        <v/>
      </c>
      <c r="I227" s="136"/>
      <c r="J227" s="136"/>
      <c r="K227" s="136"/>
      <c r="L227" s="136"/>
      <c r="M227" s="136"/>
      <c r="N227" s="136" t="e">
        <f t="shared" si="7"/>
        <v>#N/A</v>
      </c>
      <c r="O227" s="136" t="e">
        <f t="shared" si="8"/>
        <v>#N/A</v>
      </c>
    </row>
    <row r="228" spans="1:15" ht="22.05" customHeight="1" x14ac:dyDescent="0.3">
      <c r="A228" s="136">
        <v>184</v>
      </c>
      <c r="B228" s="165" t="str">
        <f>IF($A228&gt;MIN($A$10,$A$2),"",INDEX(DemoHistory[Date],$A228))</f>
        <v/>
      </c>
      <c r="C228" s="166" t="str">
        <f>IF(OR($A228&gt;MIN($A$10,$A$2),$A$5=""),"",INDEX(DemoHistory[],$A228,MATCH($A$5,DemoHistory[#Headers],0)))</f>
        <v/>
      </c>
      <c r="D228" s="166" t="str">
        <f>IF($A228&gt;MIN($A$10,$A$2),"",IF(AND($A$12,$A$6=1,B228&lt;$A$7,$A$7&lt;=MAX(DemoHistory[Date])),$A$8,1))</f>
        <v/>
      </c>
      <c r="E228" s="166" t="str">
        <f t="shared" si="6"/>
        <v/>
      </c>
      <c r="F228" s="166" t="str">
        <f>IF($A228&gt;MIN($A$10,$A$2),"",IF($A228&lt;50,"n.a.",IF(COUNT(INDEX(StockDaily[Adjusted close],MAX(1,$A228-50+1)):E228)=50,AVERAGE(INDEX(StockDaily[Adjusted close],MAX(1,$A228-50+1)):E228),"n.a.")))</f>
        <v/>
      </c>
      <c r="G228" s="166" t="str">
        <f>IF($A228&gt;MIN($A$10,$A$2),"",IF($A228&lt;200,"n.a.",IF(COUNT(INDEX(StockDaily[Adjusted close],MAX(1,$A228-200+1)):E228)=200,AVERAGE(INDEX(StockDaily[Adjusted close],MAX(1,$A228-200+1)):E228),"n.a.")))</f>
        <v/>
      </c>
      <c r="H228" s="136" t="str">
        <f>IF($A228&gt;MIN($A$10,$A$2),"",IF($A$5="","Choose stock",IF(NOT($A$12),"Check split rule",IF(NOT(ISNUMBER(B228)),"Invalid date",IF(OR(B228&lt;=0,B228&lt;&gt;INT(B228)),"Invalid date",IF(COUNTIFS(DemoHistory[Date],B228)&lt;&gt;1,"Duplicate date",IF(AND($A228&gt;1,B228&lt;=B227),"Dates out of order",IF(NOT(ISNUMBER(C228)),"Missing price",IF(C228&lt;=0,"Nonpositive price","OK")))))))))</f>
        <v/>
      </c>
      <c r="I228" s="136"/>
      <c r="J228" s="136"/>
      <c r="K228" s="136"/>
      <c r="L228" s="136"/>
      <c r="M228" s="136"/>
      <c r="N228" s="136" t="e">
        <f t="shared" si="7"/>
        <v>#N/A</v>
      </c>
      <c r="O228" s="136" t="e">
        <f t="shared" si="8"/>
        <v>#N/A</v>
      </c>
    </row>
    <row r="229" spans="1:15" ht="22.05" customHeight="1" x14ac:dyDescent="0.3">
      <c r="A229" s="136">
        <v>185</v>
      </c>
      <c r="B229" s="165" t="str">
        <f>IF($A229&gt;MIN($A$10,$A$2),"",INDEX(DemoHistory[Date],$A229))</f>
        <v/>
      </c>
      <c r="C229" s="166" t="str">
        <f>IF(OR($A229&gt;MIN($A$10,$A$2),$A$5=""),"",INDEX(DemoHistory[],$A229,MATCH($A$5,DemoHistory[#Headers],0)))</f>
        <v/>
      </c>
      <c r="D229" s="166" t="str">
        <f>IF($A229&gt;MIN($A$10,$A$2),"",IF(AND($A$12,$A$6=1,B229&lt;$A$7,$A$7&lt;=MAX(DemoHistory[Date])),$A$8,1))</f>
        <v/>
      </c>
      <c r="E229" s="166" t="str">
        <f t="shared" si="6"/>
        <v/>
      </c>
      <c r="F229" s="166" t="str">
        <f>IF($A229&gt;MIN($A$10,$A$2),"",IF($A229&lt;50,"n.a.",IF(COUNT(INDEX(StockDaily[Adjusted close],MAX(1,$A229-50+1)):E229)=50,AVERAGE(INDEX(StockDaily[Adjusted close],MAX(1,$A229-50+1)):E229),"n.a.")))</f>
        <v/>
      </c>
      <c r="G229" s="166" t="str">
        <f>IF($A229&gt;MIN($A$10,$A$2),"",IF($A229&lt;200,"n.a.",IF(COUNT(INDEX(StockDaily[Adjusted close],MAX(1,$A229-200+1)):E229)=200,AVERAGE(INDEX(StockDaily[Adjusted close],MAX(1,$A229-200+1)):E229),"n.a.")))</f>
        <v/>
      </c>
      <c r="H229" s="136" t="str">
        <f>IF($A229&gt;MIN($A$10,$A$2),"",IF($A$5="","Choose stock",IF(NOT($A$12),"Check split rule",IF(NOT(ISNUMBER(B229)),"Invalid date",IF(OR(B229&lt;=0,B229&lt;&gt;INT(B229)),"Invalid date",IF(COUNTIFS(DemoHistory[Date],B229)&lt;&gt;1,"Duplicate date",IF(AND($A229&gt;1,B229&lt;=B228),"Dates out of order",IF(NOT(ISNUMBER(C229)),"Missing price",IF(C229&lt;=0,"Nonpositive price","OK")))))))))</f>
        <v/>
      </c>
      <c r="I229" s="136"/>
      <c r="J229" s="136"/>
      <c r="K229" s="136"/>
      <c r="L229" s="136"/>
      <c r="M229" s="136"/>
      <c r="N229" s="136" t="e">
        <f t="shared" si="7"/>
        <v>#N/A</v>
      </c>
      <c r="O229" s="136" t="e">
        <f t="shared" si="8"/>
        <v>#N/A</v>
      </c>
    </row>
    <row r="230" spans="1:15" ht="22.05" customHeight="1" x14ac:dyDescent="0.3">
      <c r="A230" s="136">
        <v>186</v>
      </c>
      <c r="B230" s="165" t="str">
        <f>IF($A230&gt;MIN($A$10,$A$2),"",INDEX(DemoHistory[Date],$A230))</f>
        <v/>
      </c>
      <c r="C230" s="166" t="str">
        <f>IF(OR($A230&gt;MIN($A$10,$A$2),$A$5=""),"",INDEX(DemoHistory[],$A230,MATCH($A$5,DemoHistory[#Headers],0)))</f>
        <v/>
      </c>
      <c r="D230" s="166" t="str">
        <f>IF($A230&gt;MIN($A$10,$A$2),"",IF(AND($A$12,$A$6=1,B230&lt;$A$7,$A$7&lt;=MAX(DemoHistory[Date])),$A$8,1))</f>
        <v/>
      </c>
      <c r="E230" s="166" t="str">
        <f t="shared" si="6"/>
        <v/>
      </c>
      <c r="F230" s="166" t="str">
        <f>IF($A230&gt;MIN($A$10,$A$2),"",IF($A230&lt;50,"n.a.",IF(COUNT(INDEX(StockDaily[Adjusted close],MAX(1,$A230-50+1)):E230)=50,AVERAGE(INDEX(StockDaily[Adjusted close],MAX(1,$A230-50+1)):E230),"n.a.")))</f>
        <v/>
      </c>
      <c r="G230" s="166" t="str">
        <f>IF($A230&gt;MIN($A$10,$A$2),"",IF($A230&lt;200,"n.a.",IF(COUNT(INDEX(StockDaily[Adjusted close],MAX(1,$A230-200+1)):E230)=200,AVERAGE(INDEX(StockDaily[Adjusted close],MAX(1,$A230-200+1)):E230),"n.a.")))</f>
        <v/>
      </c>
      <c r="H230" s="136" t="str">
        <f>IF($A230&gt;MIN($A$10,$A$2),"",IF($A$5="","Choose stock",IF(NOT($A$12),"Check split rule",IF(NOT(ISNUMBER(B230)),"Invalid date",IF(OR(B230&lt;=0,B230&lt;&gt;INT(B230)),"Invalid date",IF(COUNTIFS(DemoHistory[Date],B230)&lt;&gt;1,"Duplicate date",IF(AND($A230&gt;1,B230&lt;=B229),"Dates out of order",IF(NOT(ISNUMBER(C230)),"Missing price",IF(C230&lt;=0,"Nonpositive price","OK")))))))))</f>
        <v/>
      </c>
      <c r="I230" s="136"/>
      <c r="J230" s="136"/>
      <c r="K230" s="136"/>
      <c r="L230" s="136"/>
      <c r="M230" s="136"/>
      <c r="N230" s="136" t="e">
        <f t="shared" si="7"/>
        <v>#N/A</v>
      </c>
      <c r="O230" s="136" t="e">
        <f t="shared" si="8"/>
        <v>#N/A</v>
      </c>
    </row>
    <row r="231" spans="1:15" ht="22.05" customHeight="1" x14ac:dyDescent="0.3">
      <c r="A231" s="136">
        <v>187</v>
      </c>
      <c r="B231" s="165" t="str">
        <f>IF($A231&gt;MIN($A$10,$A$2),"",INDEX(DemoHistory[Date],$A231))</f>
        <v/>
      </c>
      <c r="C231" s="166" t="str">
        <f>IF(OR($A231&gt;MIN($A$10,$A$2),$A$5=""),"",INDEX(DemoHistory[],$A231,MATCH($A$5,DemoHistory[#Headers],0)))</f>
        <v/>
      </c>
      <c r="D231" s="166" t="str">
        <f>IF($A231&gt;MIN($A$10,$A$2),"",IF(AND($A$12,$A$6=1,B231&lt;$A$7,$A$7&lt;=MAX(DemoHistory[Date])),$A$8,1))</f>
        <v/>
      </c>
      <c r="E231" s="166" t="str">
        <f t="shared" si="6"/>
        <v/>
      </c>
      <c r="F231" s="166" t="str">
        <f>IF($A231&gt;MIN($A$10,$A$2),"",IF($A231&lt;50,"n.a.",IF(COUNT(INDEX(StockDaily[Adjusted close],MAX(1,$A231-50+1)):E231)=50,AVERAGE(INDEX(StockDaily[Adjusted close],MAX(1,$A231-50+1)):E231),"n.a.")))</f>
        <v/>
      </c>
      <c r="G231" s="166" t="str">
        <f>IF($A231&gt;MIN($A$10,$A$2),"",IF($A231&lt;200,"n.a.",IF(COUNT(INDEX(StockDaily[Adjusted close],MAX(1,$A231-200+1)):E231)=200,AVERAGE(INDEX(StockDaily[Adjusted close],MAX(1,$A231-200+1)):E231),"n.a.")))</f>
        <v/>
      </c>
      <c r="H231" s="136" t="str">
        <f>IF($A231&gt;MIN($A$10,$A$2),"",IF($A$5="","Choose stock",IF(NOT($A$12),"Check split rule",IF(NOT(ISNUMBER(B231)),"Invalid date",IF(OR(B231&lt;=0,B231&lt;&gt;INT(B231)),"Invalid date",IF(COUNTIFS(DemoHistory[Date],B231)&lt;&gt;1,"Duplicate date",IF(AND($A231&gt;1,B231&lt;=B230),"Dates out of order",IF(NOT(ISNUMBER(C231)),"Missing price",IF(C231&lt;=0,"Nonpositive price","OK")))))))))</f>
        <v/>
      </c>
      <c r="I231" s="136"/>
      <c r="J231" s="136"/>
      <c r="K231" s="136"/>
      <c r="L231" s="136"/>
      <c r="M231" s="136"/>
      <c r="N231" s="136" t="e">
        <f t="shared" si="7"/>
        <v>#N/A</v>
      </c>
      <c r="O231" s="136" t="e">
        <f t="shared" si="8"/>
        <v>#N/A</v>
      </c>
    </row>
    <row r="232" spans="1:15" ht="22.05" customHeight="1" x14ac:dyDescent="0.3">
      <c r="A232" s="136">
        <v>188</v>
      </c>
      <c r="B232" s="165" t="str">
        <f>IF($A232&gt;MIN($A$10,$A$2),"",INDEX(DemoHistory[Date],$A232))</f>
        <v/>
      </c>
      <c r="C232" s="166" t="str">
        <f>IF(OR($A232&gt;MIN($A$10,$A$2),$A$5=""),"",INDEX(DemoHistory[],$A232,MATCH($A$5,DemoHistory[#Headers],0)))</f>
        <v/>
      </c>
      <c r="D232" s="166" t="str">
        <f>IF($A232&gt;MIN($A$10,$A$2),"",IF(AND($A$12,$A$6=1,B232&lt;$A$7,$A$7&lt;=MAX(DemoHistory[Date])),$A$8,1))</f>
        <v/>
      </c>
      <c r="E232" s="166" t="str">
        <f t="shared" si="6"/>
        <v/>
      </c>
      <c r="F232" s="166" t="str">
        <f>IF($A232&gt;MIN($A$10,$A$2),"",IF($A232&lt;50,"n.a.",IF(COUNT(INDEX(StockDaily[Adjusted close],MAX(1,$A232-50+1)):E232)=50,AVERAGE(INDEX(StockDaily[Adjusted close],MAX(1,$A232-50+1)):E232),"n.a.")))</f>
        <v/>
      </c>
      <c r="G232" s="166" t="str">
        <f>IF($A232&gt;MIN($A$10,$A$2),"",IF($A232&lt;200,"n.a.",IF(COUNT(INDEX(StockDaily[Adjusted close],MAX(1,$A232-200+1)):E232)=200,AVERAGE(INDEX(StockDaily[Adjusted close],MAX(1,$A232-200+1)):E232),"n.a.")))</f>
        <v/>
      </c>
      <c r="H232" s="136" t="str">
        <f>IF($A232&gt;MIN($A$10,$A$2),"",IF($A$5="","Choose stock",IF(NOT($A$12),"Check split rule",IF(NOT(ISNUMBER(B232)),"Invalid date",IF(OR(B232&lt;=0,B232&lt;&gt;INT(B232)),"Invalid date",IF(COUNTIFS(DemoHistory[Date],B232)&lt;&gt;1,"Duplicate date",IF(AND($A232&gt;1,B232&lt;=B231),"Dates out of order",IF(NOT(ISNUMBER(C232)),"Missing price",IF(C232&lt;=0,"Nonpositive price","OK")))))))))</f>
        <v/>
      </c>
      <c r="I232" s="136"/>
      <c r="J232" s="136"/>
      <c r="K232" s="136"/>
      <c r="L232" s="136"/>
      <c r="M232" s="136"/>
      <c r="N232" s="136" t="e">
        <f t="shared" si="7"/>
        <v>#N/A</v>
      </c>
      <c r="O232" s="136" t="e">
        <f t="shared" si="8"/>
        <v>#N/A</v>
      </c>
    </row>
    <row r="233" spans="1:15" ht="22.05" customHeight="1" x14ac:dyDescent="0.3">
      <c r="A233" s="136">
        <v>189</v>
      </c>
      <c r="B233" s="165" t="str">
        <f>IF($A233&gt;MIN($A$10,$A$2),"",INDEX(DemoHistory[Date],$A233))</f>
        <v/>
      </c>
      <c r="C233" s="166" t="str">
        <f>IF(OR($A233&gt;MIN($A$10,$A$2),$A$5=""),"",INDEX(DemoHistory[],$A233,MATCH($A$5,DemoHistory[#Headers],0)))</f>
        <v/>
      </c>
      <c r="D233" s="166" t="str">
        <f>IF($A233&gt;MIN($A$10,$A$2),"",IF(AND($A$12,$A$6=1,B233&lt;$A$7,$A$7&lt;=MAX(DemoHistory[Date])),$A$8,1))</f>
        <v/>
      </c>
      <c r="E233" s="166" t="str">
        <f t="shared" si="6"/>
        <v/>
      </c>
      <c r="F233" s="166" t="str">
        <f>IF($A233&gt;MIN($A$10,$A$2),"",IF($A233&lt;50,"n.a.",IF(COUNT(INDEX(StockDaily[Adjusted close],MAX(1,$A233-50+1)):E233)=50,AVERAGE(INDEX(StockDaily[Adjusted close],MAX(1,$A233-50+1)):E233),"n.a.")))</f>
        <v/>
      </c>
      <c r="G233" s="166" t="str">
        <f>IF($A233&gt;MIN($A$10,$A$2),"",IF($A233&lt;200,"n.a.",IF(COUNT(INDEX(StockDaily[Adjusted close],MAX(1,$A233-200+1)):E233)=200,AVERAGE(INDEX(StockDaily[Adjusted close],MAX(1,$A233-200+1)):E233),"n.a.")))</f>
        <v/>
      </c>
      <c r="H233" s="136" t="str">
        <f>IF($A233&gt;MIN($A$10,$A$2),"",IF($A$5="","Choose stock",IF(NOT($A$12),"Check split rule",IF(NOT(ISNUMBER(B233)),"Invalid date",IF(OR(B233&lt;=0,B233&lt;&gt;INT(B233)),"Invalid date",IF(COUNTIFS(DemoHistory[Date],B233)&lt;&gt;1,"Duplicate date",IF(AND($A233&gt;1,B233&lt;=B232),"Dates out of order",IF(NOT(ISNUMBER(C233)),"Missing price",IF(C233&lt;=0,"Nonpositive price","OK")))))))))</f>
        <v/>
      </c>
      <c r="I233" s="136"/>
      <c r="J233" s="136"/>
      <c r="K233" s="136"/>
      <c r="L233" s="136"/>
      <c r="M233" s="136"/>
      <c r="N233" s="136" t="e">
        <f t="shared" si="7"/>
        <v>#N/A</v>
      </c>
      <c r="O233" s="136" t="e">
        <f t="shared" si="8"/>
        <v>#N/A</v>
      </c>
    </row>
    <row r="234" spans="1:15" ht="22.05" customHeight="1" x14ac:dyDescent="0.3">
      <c r="A234" s="136">
        <v>190</v>
      </c>
      <c r="B234" s="165" t="str">
        <f>IF($A234&gt;MIN($A$10,$A$2),"",INDEX(DemoHistory[Date],$A234))</f>
        <v/>
      </c>
      <c r="C234" s="166" t="str">
        <f>IF(OR($A234&gt;MIN($A$10,$A$2),$A$5=""),"",INDEX(DemoHistory[],$A234,MATCH($A$5,DemoHistory[#Headers],0)))</f>
        <v/>
      </c>
      <c r="D234" s="166" t="str">
        <f>IF($A234&gt;MIN($A$10,$A$2),"",IF(AND($A$12,$A$6=1,B234&lt;$A$7,$A$7&lt;=MAX(DemoHistory[Date])),$A$8,1))</f>
        <v/>
      </c>
      <c r="E234" s="166" t="str">
        <f t="shared" si="6"/>
        <v/>
      </c>
      <c r="F234" s="166" t="str">
        <f>IF($A234&gt;MIN($A$10,$A$2),"",IF($A234&lt;50,"n.a.",IF(COUNT(INDEX(StockDaily[Adjusted close],MAX(1,$A234-50+1)):E234)=50,AVERAGE(INDEX(StockDaily[Adjusted close],MAX(1,$A234-50+1)):E234),"n.a.")))</f>
        <v/>
      </c>
      <c r="G234" s="166" t="str">
        <f>IF($A234&gt;MIN($A$10,$A$2),"",IF($A234&lt;200,"n.a.",IF(COUNT(INDEX(StockDaily[Adjusted close],MAX(1,$A234-200+1)):E234)=200,AVERAGE(INDEX(StockDaily[Adjusted close],MAX(1,$A234-200+1)):E234),"n.a.")))</f>
        <v/>
      </c>
      <c r="H234" s="136" t="str">
        <f>IF($A234&gt;MIN($A$10,$A$2),"",IF($A$5="","Choose stock",IF(NOT($A$12),"Check split rule",IF(NOT(ISNUMBER(B234)),"Invalid date",IF(OR(B234&lt;=0,B234&lt;&gt;INT(B234)),"Invalid date",IF(COUNTIFS(DemoHistory[Date],B234)&lt;&gt;1,"Duplicate date",IF(AND($A234&gt;1,B234&lt;=B233),"Dates out of order",IF(NOT(ISNUMBER(C234)),"Missing price",IF(C234&lt;=0,"Nonpositive price","OK")))))))))</f>
        <v/>
      </c>
      <c r="I234" s="136"/>
      <c r="J234" s="136"/>
      <c r="K234" s="136"/>
      <c r="L234" s="136"/>
      <c r="M234" s="136"/>
      <c r="N234" s="136" t="e">
        <f t="shared" si="7"/>
        <v>#N/A</v>
      </c>
      <c r="O234" s="136" t="e">
        <f t="shared" si="8"/>
        <v>#N/A</v>
      </c>
    </row>
    <row r="235" spans="1:15" ht="22.05" customHeight="1" x14ac:dyDescent="0.3">
      <c r="A235" s="136">
        <v>191</v>
      </c>
      <c r="B235" s="165" t="str">
        <f>IF($A235&gt;MIN($A$10,$A$2),"",INDEX(DemoHistory[Date],$A235))</f>
        <v/>
      </c>
      <c r="C235" s="166" t="str">
        <f>IF(OR($A235&gt;MIN($A$10,$A$2),$A$5=""),"",INDEX(DemoHistory[],$A235,MATCH($A$5,DemoHistory[#Headers],0)))</f>
        <v/>
      </c>
      <c r="D235" s="166" t="str">
        <f>IF($A235&gt;MIN($A$10,$A$2),"",IF(AND($A$12,$A$6=1,B235&lt;$A$7,$A$7&lt;=MAX(DemoHistory[Date])),$A$8,1))</f>
        <v/>
      </c>
      <c r="E235" s="166" t="str">
        <f t="shared" si="6"/>
        <v/>
      </c>
      <c r="F235" s="166" t="str">
        <f>IF($A235&gt;MIN($A$10,$A$2),"",IF($A235&lt;50,"n.a.",IF(COUNT(INDEX(StockDaily[Adjusted close],MAX(1,$A235-50+1)):E235)=50,AVERAGE(INDEX(StockDaily[Adjusted close],MAX(1,$A235-50+1)):E235),"n.a.")))</f>
        <v/>
      </c>
      <c r="G235" s="166" t="str">
        <f>IF($A235&gt;MIN($A$10,$A$2),"",IF($A235&lt;200,"n.a.",IF(COUNT(INDEX(StockDaily[Adjusted close],MAX(1,$A235-200+1)):E235)=200,AVERAGE(INDEX(StockDaily[Adjusted close],MAX(1,$A235-200+1)):E235),"n.a.")))</f>
        <v/>
      </c>
      <c r="H235" s="136" t="str">
        <f>IF($A235&gt;MIN($A$10,$A$2),"",IF($A$5="","Choose stock",IF(NOT($A$12),"Check split rule",IF(NOT(ISNUMBER(B235)),"Invalid date",IF(OR(B235&lt;=0,B235&lt;&gt;INT(B235)),"Invalid date",IF(COUNTIFS(DemoHistory[Date],B235)&lt;&gt;1,"Duplicate date",IF(AND($A235&gt;1,B235&lt;=B234),"Dates out of order",IF(NOT(ISNUMBER(C235)),"Missing price",IF(C235&lt;=0,"Nonpositive price","OK")))))))))</f>
        <v/>
      </c>
      <c r="I235" s="136"/>
      <c r="J235" s="136"/>
      <c r="K235" s="136"/>
      <c r="L235" s="136"/>
      <c r="M235" s="136"/>
      <c r="N235" s="136" t="e">
        <f t="shared" si="7"/>
        <v>#N/A</v>
      </c>
      <c r="O235" s="136" t="e">
        <f t="shared" si="8"/>
        <v>#N/A</v>
      </c>
    </row>
    <row r="236" spans="1:15" ht="22.05" customHeight="1" x14ac:dyDescent="0.3">
      <c r="A236" s="136">
        <v>192</v>
      </c>
      <c r="B236" s="165" t="str">
        <f>IF($A236&gt;MIN($A$10,$A$2),"",INDEX(DemoHistory[Date],$A236))</f>
        <v/>
      </c>
      <c r="C236" s="166" t="str">
        <f>IF(OR($A236&gt;MIN($A$10,$A$2),$A$5=""),"",INDEX(DemoHistory[],$A236,MATCH($A$5,DemoHistory[#Headers],0)))</f>
        <v/>
      </c>
      <c r="D236" s="166" t="str">
        <f>IF($A236&gt;MIN($A$10,$A$2),"",IF(AND($A$12,$A$6=1,B236&lt;$A$7,$A$7&lt;=MAX(DemoHistory[Date])),$A$8,1))</f>
        <v/>
      </c>
      <c r="E236" s="166" t="str">
        <f t="shared" si="6"/>
        <v/>
      </c>
      <c r="F236" s="166" t="str">
        <f>IF($A236&gt;MIN($A$10,$A$2),"",IF($A236&lt;50,"n.a.",IF(COUNT(INDEX(StockDaily[Adjusted close],MAX(1,$A236-50+1)):E236)=50,AVERAGE(INDEX(StockDaily[Adjusted close],MAX(1,$A236-50+1)):E236),"n.a.")))</f>
        <v/>
      </c>
      <c r="G236" s="166" t="str">
        <f>IF($A236&gt;MIN($A$10,$A$2),"",IF($A236&lt;200,"n.a.",IF(COUNT(INDEX(StockDaily[Adjusted close],MAX(1,$A236-200+1)):E236)=200,AVERAGE(INDEX(StockDaily[Adjusted close],MAX(1,$A236-200+1)):E236),"n.a.")))</f>
        <v/>
      </c>
      <c r="H236" s="136" t="str">
        <f>IF($A236&gt;MIN($A$10,$A$2),"",IF($A$5="","Choose stock",IF(NOT($A$12),"Check split rule",IF(NOT(ISNUMBER(B236)),"Invalid date",IF(OR(B236&lt;=0,B236&lt;&gt;INT(B236)),"Invalid date",IF(COUNTIFS(DemoHistory[Date],B236)&lt;&gt;1,"Duplicate date",IF(AND($A236&gt;1,B236&lt;=B235),"Dates out of order",IF(NOT(ISNUMBER(C236)),"Missing price",IF(C236&lt;=0,"Nonpositive price","OK")))))))))</f>
        <v/>
      </c>
      <c r="I236" s="136"/>
      <c r="J236" s="136"/>
      <c r="K236" s="136"/>
      <c r="L236" s="136"/>
      <c r="M236" s="136"/>
      <c r="N236" s="136" t="e">
        <f t="shared" si="7"/>
        <v>#N/A</v>
      </c>
      <c r="O236" s="136" t="e">
        <f t="shared" si="8"/>
        <v>#N/A</v>
      </c>
    </row>
    <row r="237" spans="1:15" ht="22.05" customHeight="1" x14ac:dyDescent="0.3">
      <c r="A237" s="136">
        <v>193</v>
      </c>
      <c r="B237" s="165" t="str">
        <f>IF($A237&gt;MIN($A$10,$A$2),"",INDEX(DemoHistory[Date],$A237))</f>
        <v/>
      </c>
      <c r="C237" s="166" t="str">
        <f>IF(OR($A237&gt;MIN($A$10,$A$2),$A$5=""),"",INDEX(DemoHistory[],$A237,MATCH($A$5,DemoHistory[#Headers],0)))</f>
        <v/>
      </c>
      <c r="D237" s="166" t="str">
        <f>IF($A237&gt;MIN($A$10,$A$2),"",IF(AND($A$12,$A$6=1,B237&lt;$A$7,$A$7&lt;=MAX(DemoHistory[Date])),$A$8,1))</f>
        <v/>
      </c>
      <c r="E237" s="166" t="str">
        <f t="shared" ref="E237:E300" si="9">IF($A237&gt;MIN($A$10,$A$2),"",IF(H237="OK",C237/D237,"n.a."))</f>
        <v/>
      </c>
      <c r="F237" s="166" t="str">
        <f>IF($A237&gt;MIN($A$10,$A$2),"",IF($A237&lt;50,"n.a.",IF(COUNT(INDEX(StockDaily[Adjusted close],MAX(1,$A237-50+1)):E237)=50,AVERAGE(INDEX(StockDaily[Adjusted close],MAX(1,$A237-50+1)):E237),"n.a.")))</f>
        <v/>
      </c>
      <c r="G237" s="166" t="str">
        <f>IF($A237&gt;MIN($A$10,$A$2),"",IF($A237&lt;200,"n.a.",IF(COUNT(INDEX(StockDaily[Adjusted close],MAX(1,$A237-200+1)):E237)=200,AVERAGE(INDEX(StockDaily[Adjusted close],MAX(1,$A237-200+1)):E237),"n.a.")))</f>
        <v/>
      </c>
      <c r="H237" s="136" t="str">
        <f>IF($A237&gt;MIN($A$10,$A$2),"",IF($A$5="","Choose stock",IF(NOT($A$12),"Check split rule",IF(NOT(ISNUMBER(B237)),"Invalid date",IF(OR(B237&lt;=0,B237&lt;&gt;INT(B237)),"Invalid date",IF(COUNTIFS(DemoHistory[Date],B237)&lt;&gt;1,"Duplicate date",IF(AND($A237&gt;1,B237&lt;=B236),"Dates out of order",IF(NOT(ISNUMBER(C237)),"Missing price",IF(C237&lt;=0,"Nonpositive price","OK")))))))))</f>
        <v/>
      </c>
      <c r="I237" s="136"/>
      <c r="J237" s="136"/>
      <c r="K237" s="136"/>
      <c r="L237" s="136"/>
      <c r="M237" s="136"/>
      <c r="N237" s="136" t="e">
        <f t="shared" ref="N237:N300" si="10">IF(AND($A$13="Ready",ISNUMBER(E237)),E237,NA())</f>
        <v>#N/A</v>
      </c>
      <c r="O237" s="136" t="e">
        <f t="shared" ref="O237:O300" si="11">IF(AND($A$13="Ready",ISNUMBER(F237)),F237,NA())</f>
        <v>#N/A</v>
      </c>
    </row>
    <row r="238" spans="1:15" ht="22.05" customHeight="1" x14ac:dyDescent="0.3">
      <c r="A238" s="136">
        <v>194</v>
      </c>
      <c r="B238" s="165" t="str">
        <f>IF($A238&gt;MIN($A$10,$A$2),"",INDEX(DemoHistory[Date],$A238))</f>
        <v/>
      </c>
      <c r="C238" s="166" t="str">
        <f>IF(OR($A238&gt;MIN($A$10,$A$2),$A$5=""),"",INDEX(DemoHistory[],$A238,MATCH($A$5,DemoHistory[#Headers],0)))</f>
        <v/>
      </c>
      <c r="D238" s="166" t="str">
        <f>IF($A238&gt;MIN($A$10,$A$2),"",IF(AND($A$12,$A$6=1,B238&lt;$A$7,$A$7&lt;=MAX(DemoHistory[Date])),$A$8,1))</f>
        <v/>
      </c>
      <c r="E238" s="166" t="str">
        <f t="shared" si="9"/>
        <v/>
      </c>
      <c r="F238" s="166" t="str">
        <f>IF($A238&gt;MIN($A$10,$A$2),"",IF($A238&lt;50,"n.a.",IF(COUNT(INDEX(StockDaily[Adjusted close],MAX(1,$A238-50+1)):E238)=50,AVERAGE(INDEX(StockDaily[Adjusted close],MAX(1,$A238-50+1)):E238),"n.a.")))</f>
        <v/>
      </c>
      <c r="G238" s="166" t="str">
        <f>IF($A238&gt;MIN($A$10,$A$2),"",IF($A238&lt;200,"n.a.",IF(COUNT(INDEX(StockDaily[Adjusted close],MAX(1,$A238-200+1)):E238)=200,AVERAGE(INDEX(StockDaily[Adjusted close],MAX(1,$A238-200+1)):E238),"n.a.")))</f>
        <v/>
      </c>
      <c r="H238" s="136" t="str">
        <f>IF($A238&gt;MIN($A$10,$A$2),"",IF($A$5="","Choose stock",IF(NOT($A$12),"Check split rule",IF(NOT(ISNUMBER(B238)),"Invalid date",IF(OR(B238&lt;=0,B238&lt;&gt;INT(B238)),"Invalid date",IF(COUNTIFS(DemoHistory[Date],B238)&lt;&gt;1,"Duplicate date",IF(AND($A238&gt;1,B238&lt;=B237),"Dates out of order",IF(NOT(ISNUMBER(C238)),"Missing price",IF(C238&lt;=0,"Nonpositive price","OK")))))))))</f>
        <v/>
      </c>
      <c r="I238" s="136"/>
      <c r="J238" s="136"/>
      <c r="K238" s="136"/>
      <c r="L238" s="136"/>
      <c r="M238" s="136"/>
      <c r="N238" s="136" t="e">
        <f t="shared" si="10"/>
        <v>#N/A</v>
      </c>
      <c r="O238" s="136" t="e">
        <f t="shared" si="11"/>
        <v>#N/A</v>
      </c>
    </row>
    <row r="239" spans="1:15" ht="22.05" customHeight="1" x14ac:dyDescent="0.3">
      <c r="A239" s="136">
        <v>195</v>
      </c>
      <c r="B239" s="165" t="str">
        <f>IF($A239&gt;MIN($A$10,$A$2),"",INDEX(DemoHistory[Date],$A239))</f>
        <v/>
      </c>
      <c r="C239" s="166" t="str">
        <f>IF(OR($A239&gt;MIN($A$10,$A$2),$A$5=""),"",INDEX(DemoHistory[],$A239,MATCH($A$5,DemoHistory[#Headers],0)))</f>
        <v/>
      </c>
      <c r="D239" s="166" t="str">
        <f>IF($A239&gt;MIN($A$10,$A$2),"",IF(AND($A$12,$A$6=1,B239&lt;$A$7,$A$7&lt;=MAX(DemoHistory[Date])),$A$8,1))</f>
        <v/>
      </c>
      <c r="E239" s="166" t="str">
        <f t="shared" si="9"/>
        <v/>
      </c>
      <c r="F239" s="166" t="str">
        <f>IF($A239&gt;MIN($A$10,$A$2),"",IF($A239&lt;50,"n.a.",IF(COUNT(INDEX(StockDaily[Adjusted close],MAX(1,$A239-50+1)):E239)=50,AVERAGE(INDEX(StockDaily[Adjusted close],MAX(1,$A239-50+1)):E239),"n.a.")))</f>
        <v/>
      </c>
      <c r="G239" s="166" t="str">
        <f>IF($A239&gt;MIN($A$10,$A$2),"",IF($A239&lt;200,"n.a.",IF(COUNT(INDEX(StockDaily[Adjusted close],MAX(1,$A239-200+1)):E239)=200,AVERAGE(INDEX(StockDaily[Adjusted close],MAX(1,$A239-200+1)):E239),"n.a.")))</f>
        <v/>
      </c>
      <c r="H239" s="136" t="str">
        <f>IF($A239&gt;MIN($A$10,$A$2),"",IF($A$5="","Choose stock",IF(NOT($A$12),"Check split rule",IF(NOT(ISNUMBER(B239)),"Invalid date",IF(OR(B239&lt;=0,B239&lt;&gt;INT(B239)),"Invalid date",IF(COUNTIFS(DemoHistory[Date],B239)&lt;&gt;1,"Duplicate date",IF(AND($A239&gt;1,B239&lt;=B238),"Dates out of order",IF(NOT(ISNUMBER(C239)),"Missing price",IF(C239&lt;=0,"Nonpositive price","OK")))))))))</f>
        <v/>
      </c>
      <c r="I239" s="136"/>
      <c r="J239" s="136"/>
      <c r="K239" s="136"/>
      <c r="L239" s="136"/>
      <c r="M239" s="136"/>
      <c r="N239" s="136" t="e">
        <f t="shared" si="10"/>
        <v>#N/A</v>
      </c>
      <c r="O239" s="136" t="e">
        <f t="shared" si="11"/>
        <v>#N/A</v>
      </c>
    </row>
    <row r="240" spans="1:15" ht="22.05" customHeight="1" x14ac:dyDescent="0.3">
      <c r="A240" s="136">
        <v>196</v>
      </c>
      <c r="B240" s="165" t="str">
        <f>IF($A240&gt;MIN($A$10,$A$2),"",INDEX(DemoHistory[Date],$A240))</f>
        <v/>
      </c>
      <c r="C240" s="166" t="str">
        <f>IF(OR($A240&gt;MIN($A$10,$A$2),$A$5=""),"",INDEX(DemoHistory[],$A240,MATCH($A$5,DemoHistory[#Headers],0)))</f>
        <v/>
      </c>
      <c r="D240" s="166" t="str">
        <f>IF($A240&gt;MIN($A$10,$A$2),"",IF(AND($A$12,$A$6=1,B240&lt;$A$7,$A$7&lt;=MAX(DemoHistory[Date])),$A$8,1))</f>
        <v/>
      </c>
      <c r="E240" s="166" t="str">
        <f t="shared" si="9"/>
        <v/>
      </c>
      <c r="F240" s="166" t="str">
        <f>IF($A240&gt;MIN($A$10,$A$2),"",IF($A240&lt;50,"n.a.",IF(COUNT(INDEX(StockDaily[Adjusted close],MAX(1,$A240-50+1)):E240)=50,AVERAGE(INDEX(StockDaily[Adjusted close],MAX(1,$A240-50+1)):E240),"n.a.")))</f>
        <v/>
      </c>
      <c r="G240" s="166" t="str">
        <f>IF($A240&gt;MIN($A$10,$A$2),"",IF($A240&lt;200,"n.a.",IF(COUNT(INDEX(StockDaily[Adjusted close],MAX(1,$A240-200+1)):E240)=200,AVERAGE(INDEX(StockDaily[Adjusted close],MAX(1,$A240-200+1)):E240),"n.a.")))</f>
        <v/>
      </c>
      <c r="H240" s="136" t="str">
        <f>IF($A240&gt;MIN($A$10,$A$2),"",IF($A$5="","Choose stock",IF(NOT($A$12),"Check split rule",IF(NOT(ISNUMBER(B240)),"Invalid date",IF(OR(B240&lt;=0,B240&lt;&gt;INT(B240)),"Invalid date",IF(COUNTIFS(DemoHistory[Date],B240)&lt;&gt;1,"Duplicate date",IF(AND($A240&gt;1,B240&lt;=B239),"Dates out of order",IF(NOT(ISNUMBER(C240)),"Missing price",IF(C240&lt;=0,"Nonpositive price","OK")))))))))</f>
        <v/>
      </c>
      <c r="I240" s="136"/>
      <c r="J240" s="136"/>
      <c r="K240" s="136"/>
      <c r="L240" s="136"/>
      <c r="M240" s="136"/>
      <c r="N240" s="136" t="e">
        <f t="shared" si="10"/>
        <v>#N/A</v>
      </c>
      <c r="O240" s="136" t="e">
        <f t="shared" si="11"/>
        <v>#N/A</v>
      </c>
    </row>
    <row r="241" spans="1:15" ht="22.05" customHeight="1" x14ac:dyDescent="0.3">
      <c r="A241" s="136">
        <v>197</v>
      </c>
      <c r="B241" s="165" t="str">
        <f>IF($A241&gt;MIN($A$10,$A$2),"",INDEX(DemoHistory[Date],$A241))</f>
        <v/>
      </c>
      <c r="C241" s="166" t="str">
        <f>IF(OR($A241&gt;MIN($A$10,$A$2),$A$5=""),"",INDEX(DemoHistory[],$A241,MATCH($A$5,DemoHistory[#Headers],0)))</f>
        <v/>
      </c>
      <c r="D241" s="166" t="str">
        <f>IF($A241&gt;MIN($A$10,$A$2),"",IF(AND($A$12,$A$6=1,B241&lt;$A$7,$A$7&lt;=MAX(DemoHistory[Date])),$A$8,1))</f>
        <v/>
      </c>
      <c r="E241" s="166" t="str">
        <f t="shared" si="9"/>
        <v/>
      </c>
      <c r="F241" s="166" t="str">
        <f>IF($A241&gt;MIN($A$10,$A$2),"",IF($A241&lt;50,"n.a.",IF(COUNT(INDEX(StockDaily[Adjusted close],MAX(1,$A241-50+1)):E241)=50,AVERAGE(INDEX(StockDaily[Adjusted close],MAX(1,$A241-50+1)):E241),"n.a.")))</f>
        <v/>
      </c>
      <c r="G241" s="166" t="str">
        <f>IF($A241&gt;MIN($A$10,$A$2),"",IF($A241&lt;200,"n.a.",IF(COUNT(INDEX(StockDaily[Adjusted close],MAX(1,$A241-200+1)):E241)=200,AVERAGE(INDEX(StockDaily[Adjusted close],MAX(1,$A241-200+1)):E241),"n.a.")))</f>
        <v/>
      </c>
      <c r="H241" s="136" t="str">
        <f>IF($A241&gt;MIN($A$10,$A$2),"",IF($A$5="","Choose stock",IF(NOT($A$12),"Check split rule",IF(NOT(ISNUMBER(B241)),"Invalid date",IF(OR(B241&lt;=0,B241&lt;&gt;INT(B241)),"Invalid date",IF(COUNTIFS(DemoHistory[Date],B241)&lt;&gt;1,"Duplicate date",IF(AND($A241&gt;1,B241&lt;=B240),"Dates out of order",IF(NOT(ISNUMBER(C241)),"Missing price",IF(C241&lt;=0,"Nonpositive price","OK")))))))))</f>
        <v/>
      </c>
      <c r="I241" s="136"/>
      <c r="J241" s="136"/>
      <c r="K241" s="136"/>
      <c r="L241" s="136"/>
      <c r="M241" s="136"/>
      <c r="N241" s="136" t="e">
        <f t="shared" si="10"/>
        <v>#N/A</v>
      </c>
      <c r="O241" s="136" t="e">
        <f t="shared" si="11"/>
        <v>#N/A</v>
      </c>
    </row>
    <row r="242" spans="1:15" ht="22.05" customHeight="1" x14ac:dyDescent="0.3">
      <c r="A242" s="136">
        <v>198</v>
      </c>
      <c r="B242" s="165" t="str">
        <f>IF($A242&gt;MIN($A$10,$A$2),"",INDEX(DemoHistory[Date],$A242))</f>
        <v/>
      </c>
      <c r="C242" s="166" t="str">
        <f>IF(OR($A242&gt;MIN($A$10,$A$2),$A$5=""),"",INDEX(DemoHistory[],$A242,MATCH($A$5,DemoHistory[#Headers],0)))</f>
        <v/>
      </c>
      <c r="D242" s="166" t="str">
        <f>IF($A242&gt;MIN($A$10,$A$2),"",IF(AND($A$12,$A$6=1,B242&lt;$A$7,$A$7&lt;=MAX(DemoHistory[Date])),$A$8,1))</f>
        <v/>
      </c>
      <c r="E242" s="166" t="str">
        <f t="shared" si="9"/>
        <v/>
      </c>
      <c r="F242" s="166" t="str">
        <f>IF($A242&gt;MIN($A$10,$A$2),"",IF($A242&lt;50,"n.a.",IF(COUNT(INDEX(StockDaily[Adjusted close],MAX(1,$A242-50+1)):E242)=50,AVERAGE(INDEX(StockDaily[Adjusted close],MAX(1,$A242-50+1)):E242),"n.a.")))</f>
        <v/>
      </c>
      <c r="G242" s="166" t="str">
        <f>IF($A242&gt;MIN($A$10,$A$2),"",IF($A242&lt;200,"n.a.",IF(COUNT(INDEX(StockDaily[Adjusted close],MAX(1,$A242-200+1)):E242)=200,AVERAGE(INDEX(StockDaily[Adjusted close],MAX(1,$A242-200+1)):E242),"n.a.")))</f>
        <v/>
      </c>
      <c r="H242" s="136" t="str">
        <f>IF($A242&gt;MIN($A$10,$A$2),"",IF($A$5="","Choose stock",IF(NOT($A$12),"Check split rule",IF(NOT(ISNUMBER(B242)),"Invalid date",IF(OR(B242&lt;=0,B242&lt;&gt;INT(B242)),"Invalid date",IF(COUNTIFS(DemoHistory[Date],B242)&lt;&gt;1,"Duplicate date",IF(AND($A242&gt;1,B242&lt;=B241),"Dates out of order",IF(NOT(ISNUMBER(C242)),"Missing price",IF(C242&lt;=0,"Nonpositive price","OK")))))))))</f>
        <v/>
      </c>
      <c r="I242" s="136"/>
      <c r="J242" s="136"/>
      <c r="K242" s="136"/>
      <c r="L242" s="136"/>
      <c r="M242" s="136"/>
      <c r="N242" s="136" t="e">
        <f t="shared" si="10"/>
        <v>#N/A</v>
      </c>
      <c r="O242" s="136" t="e">
        <f t="shared" si="11"/>
        <v>#N/A</v>
      </c>
    </row>
    <row r="243" spans="1:15" ht="22.05" customHeight="1" x14ac:dyDescent="0.3">
      <c r="A243" s="136">
        <v>199</v>
      </c>
      <c r="B243" s="165" t="str">
        <f>IF($A243&gt;MIN($A$10,$A$2),"",INDEX(DemoHistory[Date],$A243))</f>
        <v/>
      </c>
      <c r="C243" s="166" t="str">
        <f>IF(OR($A243&gt;MIN($A$10,$A$2),$A$5=""),"",INDEX(DemoHistory[],$A243,MATCH($A$5,DemoHistory[#Headers],0)))</f>
        <v/>
      </c>
      <c r="D243" s="166" t="str">
        <f>IF($A243&gt;MIN($A$10,$A$2),"",IF(AND($A$12,$A$6=1,B243&lt;$A$7,$A$7&lt;=MAX(DemoHistory[Date])),$A$8,1))</f>
        <v/>
      </c>
      <c r="E243" s="166" t="str">
        <f t="shared" si="9"/>
        <v/>
      </c>
      <c r="F243" s="166" t="str">
        <f>IF($A243&gt;MIN($A$10,$A$2),"",IF($A243&lt;50,"n.a.",IF(COUNT(INDEX(StockDaily[Adjusted close],MAX(1,$A243-50+1)):E243)=50,AVERAGE(INDEX(StockDaily[Adjusted close],MAX(1,$A243-50+1)):E243),"n.a.")))</f>
        <v/>
      </c>
      <c r="G243" s="166" t="str">
        <f>IF($A243&gt;MIN($A$10,$A$2),"",IF($A243&lt;200,"n.a.",IF(COUNT(INDEX(StockDaily[Adjusted close],MAX(1,$A243-200+1)):E243)=200,AVERAGE(INDEX(StockDaily[Adjusted close],MAX(1,$A243-200+1)):E243),"n.a.")))</f>
        <v/>
      </c>
      <c r="H243" s="136" t="str">
        <f>IF($A243&gt;MIN($A$10,$A$2),"",IF($A$5="","Choose stock",IF(NOT($A$12),"Check split rule",IF(NOT(ISNUMBER(B243)),"Invalid date",IF(OR(B243&lt;=0,B243&lt;&gt;INT(B243)),"Invalid date",IF(COUNTIFS(DemoHistory[Date],B243)&lt;&gt;1,"Duplicate date",IF(AND($A243&gt;1,B243&lt;=B242),"Dates out of order",IF(NOT(ISNUMBER(C243)),"Missing price",IF(C243&lt;=0,"Nonpositive price","OK")))))))))</f>
        <v/>
      </c>
      <c r="I243" s="136"/>
      <c r="J243" s="136"/>
      <c r="K243" s="136"/>
      <c r="L243" s="136"/>
      <c r="M243" s="136"/>
      <c r="N243" s="136" t="e">
        <f t="shared" si="10"/>
        <v>#N/A</v>
      </c>
      <c r="O243" s="136" t="e">
        <f t="shared" si="11"/>
        <v>#N/A</v>
      </c>
    </row>
    <row r="244" spans="1:15" ht="22.05" customHeight="1" x14ac:dyDescent="0.3">
      <c r="A244" s="136">
        <v>200</v>
      </c>
      <c r="B244" s="165" t="str">
        <f>IF($A244&gt;MIN($A$10,$A$2),"",INDEX(DemoHistory[Date],$A244))</f>
        <v/>
      </c>
      <c r="C244" s="166" t="str">
        <f>IF(OR($A244&gt;MIN($A$10,$A$2),$A$5=""),"",INDEX(DemoHistory[],$A244,MATCH($A$5,DemoHistory[#Headers],0)))</f>
        <v/>
      </c>
      <c r="D244" s="166" t="str">
        <f>IF($A244&gt;MIN($A$10,$A$2),"",IF(AND($A$12,$A$6=1,B244&lt;$A$7,$A$7&lt;=MAX(DemoHistory[Date])),$A$8,1))</f>
        <v/>
      </c>
      <c r="E244" s="166" t="str">
        <f t="shared" si="9"/>
        <v/>
      </c>
      <c r="F244" s="166" t="str">
        <f>IF($A244&gt;MIN($A$10,$A$2),"",IF($A244&lt;50,"n.a.",IF(COUNT(INDEX(StockDaily[Adjusted close],MAX(1,$A244-50+1)):E244)=50,AVERAGE(INDEX(StockDaily[Adjusted close],MAX(1,$A244-50+1)):E244),"n.a.")))</f>
        <v/>
      </c>
      <c r="G244" s="166" t="str">
        <f>IF($A244&gt;MIN($A$10,$A$2),"",IF($A244&lt;200,"n.a.",IF(COUNT(INDEX(StockDaily[Adjusted close],MAX(1,$A244-200+1)):E244)=200,AVERAGE(INDEX(StockDaily[Adjusted close],MAX(1,$A244-200+1)):E244),"n.a.")))</f>
        <v/>
      </c>
      <c r="H244" s="136" t="str">
        <f>IF($A244&gt;MIN($A$10,$A$2),"",IF($A$5="","Choose stock",IF(NOT($A$12),"Check split rule",IF(NOT(ISNUMBER(B244)),"Invalid date",IF(OR(B244&lt;=0,B244&lt;&gt;INT(B244)),"Invalid date",IF(COUNTIFS(DemoHistory[Date],B244)&lt;&gt;1,"Duplicate date",IF(AND($A244&gt;1,B244&lt;=B243),"Dates out of order",IF(NOT(ISNUMBER(C244)),"Missing price",IF(C244&lt;=0,"Nonpositive price","OK")))))))))</f>
        <v/>
      </c>
      <c r="I244" s="136"/>
      <c r="J244" s="136"/>
      <c r="K244" s="136"/>
      <c r="L244" s="136"/>
      <c r="M244" s="136"/>
      <c r="N244" s="136" t="e">
        <f t="shared" si="10"/>
        <v>#N/A</v>
      </c>
      <c r="O244" s="136" t="e">
        <f t="shared" si="11"/>
        <v>#N/A</v>
      </c>
    </row>
    <row r="245" spans="1:15" ht="22.05" customHeight="1" x14ac:dyDescent="0.3">
      <c r="A245" s="136">
        <v>201</v>
      </c>
      <c r="B245" s="165" t="str">
        <f>IF($A245&gt;MIN($A$10,$A$2),"",INDEX(DemoHistory[Date],$A245))</f>
        <v/>
      </c>
      <c r="C245" s="166" t="str">
        <f>IF(OR($A245&gt;MIN($A$10,$A$2),$A$5=""),"",INDEX(DemoHistory[],$A245,MATCH($A$5,DemoHistory[#Headers],0)))</f>
        <v/>
      </c>
      <c r="D245" s="166" t="str">
        <f>IF($A245&gt;MIN($A$10,$A$2),"",IF(AND($A$12,$A$6=1,B245&lt;$A$7,$A$7&lt;=MAX(DemoHistory[Date])),$A$8,1))</f>
        <v/>
      </c>
      <c r="E245" s="166" t="str">
        <f t="shared" si="9"/>
        <v/>
      </c>
      <c r="F245" s="166" t="str">
        <f>IF($A245&gt;MIN($A$10,$A$2),"",IF($A245&lt;50,"n.a.",IF(COUNT(INDEX(StockDaily[Adjusted close],MAX(1,$A245-50+1)):E245)=50,AVERAGE(INDEX(StockDaily[Adjusted close],MAX(1,$A245-50+1)):E245),"n.a.")))</f>
        <v/>
      </c>
      <c r="G245" s="166" t="str">
        <f>IF($A245&gt;MIN($A$10,$A$2),"",IF($A245&lt;200,"n.a.",IF(COUNT(INDEX(StockDaily[Adjusted close],MAX(1,$A245-200+1)):E245)=200,AVERAGE(INDEX(StockDaily[Adjusted close],MAX(1,$A245-200+1)):E245),"n.a.")))</f>
        <v/>
      </c>
      <c r="H245" s="136" t="str">
        <f>IF($A245&gt;MIN($A$10,$A$2),"",IF($A$5="","Choose stock",IF(NOT($A$12),"Check split rule",IF(NOT(ISNUMBER(B245)),"Invalid date",IF(OR(B245&lt;=0,B245&lt;&gt;INT(B245)),"Invalid date",IF(COUNTIFS(DemoHistory[Date],B245)&lt;&gt;1,"Duplicate date",IF(AND($A245&gt;1,B245&lt;=B244),"Dates out of order",IF(NOT(ISNUMBER(C245)),"Missing price",IF(C245&lt;=0,"Nonpositive price","OK")))))))))</f>
        <v/>
      </c>
      <c r="I245" s="136"/>
      <c r="J245" s="136"/>
      <c r="K245" s="136"/>
      <c r="L245" s="136"/>
      <c r="M245" s="136"/>
      <c r="N245" s="136" t="e">
        <f t="shared" si="10"/>
        <v>#N/A</v>
      </c>
      <c r="O245" s="136" t="e">
        <f t="shared" si="11"/>
        <v>#N/A</v>
      </c>
    </row>
    <row r="246" spans="1:15" ht="22.05" customHeight="1" x14ac:dyDescent="0.3">
      <c r="A246" s="136">
        <v>202</v>
      </c>
      <c r="B246" s="165" t="str">
        <f>IF($A246&gt;MIN($A$10,$A$2),"",INDEX(DemoHistory[Date],$A246))</f>
        <v/>
      </c>
      <c r="C246" s="166" t="str">
        <f>IF(OR($A246&gt;MIN($A$10,$A$2),$A$5=""),"",INDEX(DemoHistory[],$A246,MATCH($A$5,DemoHistory[#Headers],0)))</f>
        <v/>
      </c>
      <c r="D246" s="166" t="str">
        <f>IF($A246&gt;MIN($A$10,$A$2),"",IF(AND($A$12,$A$6=1,B246&lt;$A$7,$A$7&lt;=MAX(DemoHistory[Date])),$A$8,1))</f>
        <v/>
      </c>
      <c r="E246" s="166" t="str">
        <f t="shared" si="9"/>
        <v/>
      </c>
      <c r="F246" s="166" t="str">
        <f>IF($A246&gt;MIN($A$10,$A$2),"",IF($A246&lt;50,"n.a.",IF(COUNT(INDEX(StockDaily[Adjusted close],MAX(1,$A246-50+1)):E246)=50,AVERAGE(INDEX(StockDaily[Adjusted close],MAX(1,$A246-50+1)):E246),"n.a.")))</f>
        <v/>
      </c>
      <c r="G246" s="166" t="str">
        <f>IF($A246&gt;MIN($A$10,$A$2),"",IF($A246&lt;200,"n.a.",IF(COUNT(INDEX(StockDaily[Adjusted close],MAX(1,$A246-200+1)):E246)=200,AVERAGE(INDEX(StockDaily[Adjusted close],MAX(1,$A246-200+1)):E246),"n.a.")))</f>
        <v/>
      </c>
      <c r="H246" s="136" t="str">
        <f>IF($A246&gt;MIN($A$10,$A$2),"",IF($A$5="","Choose stock",IF(NOT($A$12),"Check split rule",IF(NOT(ISNUMBER(B246)),"Invalid date",IF(OR(B246&lt;=0,B246&lt;&gt;INT(B246)),"Invalid date",IF(COUNTIFS(DemoHistory[Date],B246)&lt;&gt;1,"Duplicate date",IF(AND($A246&gt;1,B246&lt;=B245),"Dates out of order",IF(NOT(ISNUMBER(C246)),"Missing price",IF(C246&lt;=0,"Nonpositive price","OK")))))))))</f>
        <v/>
      </c>
      <c r="I246" s="136"/>
      <c r="J246" s="136"/>
      <c r="K246" s="136"/>
      <c r="L246" s="136"/>
      <c r="M246" s="136"/>
      <c r="N246" s="136" t="e">
        <f t="shared" si="10"/>
        <v>#N/A</v>
      </c>
      <c r="O246" s="136" t="e">
        <f t="shared" si="11"/>
        <v>#N/A</v>
      </c>
    </row>
    <row r="247" spans="1:15" ht="22.05" customHeight="1" x14ac:dyDescent="0.3">
      <c r="A247" s="136">
        <v>203</v>
      </c>
      <c r="B247" s="165" t="str">
        <f>IF($A247&gt;MIN($A$10,$A$2),"",INDEX(DemoHistory[Date],$A247))</f>
        <v/>
      </c>
      <c r="C247" s="166" t="str">
        <f>IF(OR($A247&gt;MIN($A$10,$A$2),$A$5=""),"",INDEX(DemoHistory[],$A247,MATCH($A$5,DemoHistory[#Headers],0)))</f>
        <v/>
      </c>
      <c r="D247" s="166" t="str">
        <f>IF($A247&gt;MIN($A$10,$A$2),"",IF(AND($A$12,$A$6=1,B247&lt;$A$7,$A$7&lt;=MAX(DemoHistory[Date])),$A$8,1))</f>
        <v/>
      </c>
      <c r="E247" s="166" t="str">
        <f t="shared" si="9"/>
        <v/>
      </c>
      <c r="F247" s="166" t="str">
        <f>IF($A247&gt;MIN($A$10,$A$2),"",IF($A247&lt;50,"n.a.",IF(COUNT(INDEX(StockDaily[Adjusted close],MAX(1,$A247-50+1)):E247)=50,AVERAGE(INDEX(StockDaily[Adjusted close],MAX(1,$A247-50+1)):E247),"n.a.")))</f>
        <v/>
      </c>
      <c r="G247" s="166" t="str">
        <f>IF($A247&gt;MIN($A$10,$A$2),"",IF($A247&lt;200,"n.a.",IF(COUNT(INDEX(StockDaily[Adjusted close],MAX(1,$A247-200+1)):E247)=200,AVERAGE(INDEX(StockDaily[Adjusted close],MAX(1,$A247-200+1)):E247),"n.a.")))</f>
        <v/>
      </c>
      <c r="H247" s="136" t="str">
        <f>IF($A247&gt;MIN($A$10,$A$2),"",IF($A$5="","Choose stock",IF(NOT($A$12),"Check split rule",IF(NOT(ISNUMBER(B247)),"Invalid date",IF(OR(B247&lt;=0,B247&lt;&gt;INT(B247)),"Invalid date",IF(COUNTIFS(DemoHistory[Date],B247)&lt;&gt;1,"Duplicate date",IF(AND($A247&gt;1,B247&lt;=B246),"Dates out of order",IF(NOT(ISNUMBER(C247)),"Missing price",IF(C247&lt;=0,"Nonpositive price","OK")))))))))</f>
        <v/>
      </c>
      <c r="I247" s="136"/>
      <c r="J247" s="136"/>
      <c r="K247" s="136"/>
      <c r="L247" s="136"/>
      <c r="M247" s="136"/>
      <c r="N247" s="136" t="e">
        <f t="shared" si="10"/>
        <v>#N/A</v>
      </c>
      <c r="O247" s="136" t="e">
        <f t="shared" si="11"/>
        <v>#N/A</v>
      </c>
    </row>
    <row r="248" spans="1:15" ht="22.05" customHeight="1" x14ac:dyDescent="0.3">
      <c r="A248" s="136">
        <v>204</v>
      </c>
      <c r="B248" s="165" t="str">
        <f>IF($A248&gt;MIN($A$10,$A$2),"",INDEX(DemoHistory[Date],$A248))</f>
        <v/>
      </c>
      <c r="C248" s="166" t="str">
        <f>IF(OR($A248&gt;MIN($A$10,$A$2),$A$5=""),"",INDEX(DemoHistory[],$A248,MATCH($A$5,DemoHistory[#Headers],0)))</f>
        <v/>
      </c>
      <c r="D248" s="166" t="str">
        <f>IF($A248&gt;MIN($A$10,$A$2),"",IF(AND($A$12,$A$6=1,B248&lt;$A$7,$A$7&lt;=MAX(DemoHistory[Date])),$A$8,1))</f>
        <v/>
      </c>
      <c r="E248" s="166" t="str">
        <f t="shared" si="9"/>
        <v/>
      </c>
      <c r="F248" s="166" t="str">
        <f>IF($A248&gt;MIN($A$10,$A$2),"",IF($A248&lt;50,"n.a.",IF(COUNT(INDEX(StockDaily[Adjusted close],MAX(1,$A248-50+1)):E248)=50,AVERAGE(INDEX(StockDaily[Adjusted close],MAX(1,$A248-50+1)):E248),"n.a.")))</f>
        <v/>
      </c>
      <c r="G248" s="166" t="str">
        <f>IF($A248&gt;MIN($A$10,$A$2),"",IF($A248&lt;200,"n.a.",IF(COUNT(INDEX(StockDaily[Adjusted close],MAX(1,$A248-200+1)):E248)=200,AVERAGE(INDEX(StockDaily[Adjusted close],MAX(1,$A248-200+1)):E248),"n.a.")))</f>
        <v/>
      </c>
      <c r="H248" s="136" t="str">
        <f>IF($A248&gt;MIN($A$10,$A$2),"",IF($A$5="","Choose stock",IF(NOT($A$12),"Check split rule",IF(NOT(ISNUMBER(B248)),"Invalid date",IF(OR(B248&lt;=0,B248&lt;&gt;INT(B248)),"Invalid date",IF(COUNTIFS(DemoHistory[Date],B248)&lt;&gt;1,"Duplicate date",IF(AND($A248&gt;1,B248&lt;=B247),"Dates out of order",IF(NOT(ISNUMBER(C248)),"Missing price",IF(C248&lt;=0,"Nonpositive price","OK")))))))))</f>
        <v/>
      </c>
      <c r="I248" s="136"/>
      <c r="J248" s="136"/>
      <c r="K248" s="136"/>
      <c r="L248" s="136"/>
      <c r="M248" s="136"/>
      <c r="N248" s="136" t="e">
        <f t="shared" si="10"/>
        <v>#N/A</v>
      </c>
      <c r="O248" s="136" t="e">
        <f t="shared" si="11"/>
        <v>#N/A</v>
      </c>
    </row>
    <row r="249" spans="1:15" ht="22.05" customHeight="1" x14ac:dyDescent="0.3">
      <c r="A249" s="136">
        <v>205</v>
      </c>
      <c r="B249" s="165" t="str">
        <f>IF($A249&gt;MIN($A$10,$A$2),"",INDEX(DemoHistory[Date],$A249))</f>
        <v/>
      </c>
      <c r="C249" s="166" t="str">
        <f>IF(OR($A249&gt;MIN($A$10,$A$2),$A$5=""),"",INDEX(DemoHistory[],$A249,MATCH($A$5,DemoHistory[#Headers],0)))</f>
        <v/>
      </c>
      <c r="D249" s="166" t="str">
        <f>IF($A249&gt;MIN($A$10,$A$2),"",IF(AND($A$12,$A$6=1,B249&lt;$A$7,$A$7&lt;=MAX(DemoHistory[Date])),$A$8,1))</f>
        <v/>
      </c>
      <c r="E249" s="166" t="str">
        <f t="shared" si="9"/>
        <v/>
      </c>
      <c r="F249" s="166" t="str">
        <f>IF($A249&gt;MIN($A$10,$A$2),"",IF($A249&lt;50,"n.a.",IF(COUNT(INDEX(StockDaily[Adjusted close],MAX(1,$A249-50+1)):E249)=50,AVERAGE(INDEX(StockDaily[Adjusted close],MAX(1,$A249-50+1)):E249),"n.a.")))</f>
        <v/>
      </c>
      <c r="G249" s="166" t="str">
        <f>IF($A249&gt;MIN($A$10,$A$2),"",IF($A249&lt;200,"n.a.",IF(COUNT(INDEX(StockDaily[Adjusted close],MAX(1,$A249-200+1)):E249)=200,AVERAGE(INDEX(StockDaily[Adjusted close],MAX(1,$A249-200+1)):E249),"n.a.")))</f>
        <v/>
      </c>
      <c r="H249" s="136" t="str">
        <f>IF($A249&gt;MIN($A$10,$A$2),"",IF($A$5="","Choose stock",IF(NOT($A$12),"Check split rule",IF(NOT(ISNUMBER(B249)),"Invalid date",IF(OR(B249&lt;=0,B249&lt;&gt;INT(B249)),"Invalid date",IF(COUNTIFS(DemoHistory[Date],B249)&lt;&gt;1,"Duplicate date",IF(AND($A249&gt;1,B249&lt;=B248),"Dates out of order",IF(NOT(ISNUMBER(C249)),"Missing price",IF(C249&lt;=0,"Nonpositive price","OK")))))))))</f>
        <v/>
      </c>
      <c r="I249" s="136"/>
      <c r="J249" s="136"/>
      <c r="K249" s="136"/>
      <c r="L249" s="136"/>
      <c r="M249" s="136"/>
      <c r="N249" s="136" t="e">
        <f t="shared" si="10"/>
        <v>#N/A</v>
      </c>
      <c r="O249" s="136" t="e">
        <f t="shared" si="11"/>
        <v>#N/A</v>
      </c>
    </row>
    <row r="250" spans="1:15" ht="22.05" customHeight="1" x14ac:dyDescent="0.3">
      <c r="A250" s="136">
        <v>206</v>
      </c>
      <c r="B250" s="165" t="str">
        <f>IF($A250&gt;MIN($A$10,$A$2),"",INDEX(DemoHistory[Date],$A250))</f>
        <v/>
      </c>
      <c r="C250" s="166" t="str">
        <f>IF(OR($A250&gt;MIN($A$10,$A$2),$A$5=""),"",INDEX(DemoHistory[],$A250,MATCH($A$5,DemoHistory[#Headers],0)))</f>
        <v/>
      </c>
      <c r="D250" s="166" t="str">
        <f>IF($A250&gt;MIN($A$10,$A$2),"",IF(AND($A$12,$A$6=1,B250&lt;$A$7,$A$7&lt;=MAX(DemoHistory[Date])),$A$8,1))</f>
        <v/>
      </c>
      <c r="E250" s="166" t="str">
        <f t="shared" si="9"/>
        <v/>
      </c>
      <c r="F250" s="166" t="str">
        <f>IF($A250&gt;MIN($A$10,$A$2),"",IF($A250&lt;50,"n.a.",IF(COUNT(INDEX(StockDaily[Adjusted close],MAX(1,$A250-50+1)):E250)=50,AVERAGE(INDEX(StockDaily[Adjusted close],MAX(1,$A250-50+1)):E250),"n.a.")))</f>
        <v/>
      </c>
      <c r="G250" s="166" t="str">
        <f>IF($A250&gt;MIN($A$10,$A$2),"",IF($A250&lt;200,"n.a.",IF(COUNT(INDEX(StockDaily[Adjusted close],MAX(1,$A250-200+1)):E250)=200,AVERAGE(INDEX(StockDaily[Adjusted close],MAX(1,$A250-200+1)):E250),"n.a.")))</f>
        <v/>
      </c>
      <c r="H250" s="136" t="str">
        <f>IF($A250&gt;MIN($A$10,$A$2),"",IF($A$5="","Choose stock",IF(NOT($A$12),"Check split rule",IF(NOT(ISNUMBER(B250)),"Invalid date",IF(OR(B250&lt;=0,B250&lt;&gt;INT(B250)),"Invalid date",IF(COUNTIFS(DemoHistory[Date],B250)&lt;&gt;1,"Duplicate date",IF(AND($A250&gt;1,B250&lt;=B249),"Dates out of order",IF(NOT(ISNUMBER(C250)),"Missing price",IF(C250&lt;=0,"Nonpositive price","OK")))))))))</f>
        <v/>
      </c>
      <c r="I250" s="136"/>
      <c r="J250" s="136"/>
      <c r="K250" s="136"/>
      <c r="L250" s="136"/>
      <c r="M250" s="136"/>
      <c r="N250" s="136" t="e">
        <f t="shared" si="10"/>
        <v>#N/A</v>
      </c>
      <c r="O250" s="136" t="e">
        <f t="shared" si="11"/>
        <v>#N/A</v>
      </c>
    </row>
    <row r="251" spans="1:15" ht="22.05" customHeight="1" x14ac:dyDescent="0.3">
      <c r="A251" s="136">
        <v>207</v>
      </c>
      <c r="B251" s="165" t="str">
        <f>IF($A251&gt;MIN($A$10,$A$2),"",INDEX(DemoHistory[Date],$A251))</f>
        <v/>
      </c>
      <c r="C251" s="166" t="str">
        <f>IF(OR($A251&gt;MIN($A$10,$A$2),$A$5=""),"",INDEX(DemoHistory[],$A251,MATCH($A$5,DemoHistory[#Headers],0)))</f>
        <v/>
      </c>
      <c r="D251" s="166" t="str">
        <f>IF($A251&gt;MIN($A$10,$A$2),"",IF(AND($A$12,$A$6=1,B251&lt;$A$7,$A$7&lt;=MAX(DemoHistory[Date])),$A$8,1))</f>
        <v/>
      </c>
      <c r="E251" s="166" t="str">
        <f t="shared" si="9"/>
        <v/>
      </c>
      <c r="F251" s="166" t="str">
        <f>IF($A251&gt;MIN($A$10,$A$2),"",IF($A251&lt;50,"n.a.",IF(COUNT(INDEX(StockDaily[Adjusted close],MAX(1,$A251-50+1)):E251)=50,AVERAGE(INDEX(StockDaily[Adjusted close],MAX(1,$A251-50+1)):E251),"n.a.")))</f>
        <v/>
      </c>
      <c r="G251" s="166" t="str">
        <f>IF($A251&gt;MIN($A$10,$A$2),"",IF($A251&lt;200,"n.a.",IF(COUNT(INDEX(StockDaily[Adjusted close],MAX(1,$A251-200+1)):E251)=200,AVERAGE(INDEX(StockDaily[Adjusted close],MAX(1,$A251-200+1)):E251),"n.a.")))</f>
        <v/>
      </c>
      <c r="H251" s="136" t="str">
        <f>IF($A251&gt;MIN($A$10,$A$2),"",IF($A$5="","Choose stock",IF(NOT($A$12),"Check split rule",IF(NOT(ISNUMBER(B251)),"Invalid date",IF(OR(B251&lt;=0,B251&lt;&gt;INT(B251)),"Invalid date",IF(COUNTIFS(DemoHistory[Date],B251)&lt;&gt;1,"Duplicate date",IF(AND($A251&gt;1,B251&lt;=B250),"Dates out of order",IF(NOT(ISNUMBER(C251)),"Missing price",IF(C251&lt;=0,"Nonpositive price","OK")))))))))</f>
        <v/>
      </c>
      <c r="I251" s="136"/>
      <c r="J251" s="136"/>
      <c r="K251" s="136"/>
      <c r="L251" s="136"/>
      <c r="M251" s="136"/>
      <c r="N251" s="136" t="e">
        <f t="shared" si="10"/>
        <v>#N/A</v>
      </c>
      <c r="O251" s="136" t="e">
        <f t="shared" si="11"/>
        <v>#N/A</v>
      </c>
    </row>
    <row r="252" spans="1:15" ht="22.05" customHeight="1" x14ac:dyDescent="0.3">
      <c r="A252" s="136">
        <v>208</v>
      </c>
      <c r="B252" s="165" t="str">
        <f>IF($A252&gt;MIN($A$10,$A$2),"",INDEX(DemoHistory[Date],$A252))</f>
        <v/>
      </c>
      <c r="C252" s="166" t="str">
        <f>IF(OR($A252&gt;MIN($A$10,$A$2),$A$5=""),"",INDEX(DemoHistory[],$A252,MATCH($A$5,DemoHistory[#Headers],0)))</f>
        <v/>
      </c>
      <c r="D252" s="166" t="str">
        <f>IF($A252&gt;MIN($A$10,$A$2),"",IF(AND($A$12,$A$6=1,B252&lt;$A$7,$A$7&lt;=MAX(DemoHistory[Date])),$A$8,1))</f>
        <v/>
      </c>
      <c r="E252" s="166" t="str">
        <f t="shared" si="9"/>
        <v/>
      </c>
      <c r="F252" s="166" t="str">
        <f>IF($A252&gt;MIN($A$10,$A$2),"",IF($A252&lt;50,"n.a.",IF(COUNT(INDEX(StockDaily[Adjusted close],MAX(1,$A252-50+1)):E252)=50,AVERAGE(INDEX(StockDaily[Adjusted close],MAX(1,$A252-50+1)):E252),"n.a.")))</f>
        <v/>
      </c>
      <c r="G252" s="166" t="str">
        <f>IF($A252&gt;MIN($A$10,$A$2),"",IF($A252&lt;200,"n.a.",IF(COUNT(INDEX(StockDaily[Adjusted close],MAX(1,$A252-200+1)):E252)=200,AVERAGE(INDEX(StockDaily[Adjusted close],MAX(1,$A252-200+1)):E252),"n.a.")))</f>
        <v/>
      </c>
      <c r="H252" s="136" t="str">
        <f>IF($A252&gt;MIN($A$10,$A$2),"",IF($A$5="","Choose stock",IF(NOT($A$12),"Check split rule",IF(NOT(ISNUMBER(B252)),"Invalid date",IF(OR(B252&lt;=0,B252&lt;&gt;INT(B252)),"Invalid date",IF(COUNTIFS(DemoHistory[Date],B252)&lt;&gt;1,"Duplicate date",IF(AND($A252&gt;1,B252&lt;=B251),"Dates out of order",IF(NOT(ISNUMBER(C252)),"Missing price",IF(C252&lt;=0,"Nonpositive price","OK")))))))))</f>
        <v/>
      </c>
      <c r="I252" s="136"/>
      <c r="J252" s="136"/>
      <c r="K252" s="136"/>
      <c r="L252" s="136"/>
      <c r="M252" s="136"/>
      <c r="N252" s="136" t="e">
        <f t="shared" si="10"/>
        <v>#N/A</v>
      </c>
      <c r="O252" s="136" t="e">
        <f t="shared" si="11"/>
        <v>#N/A</v>
      </c>
    </row>
    <row r="253" spans="1:15" ht="22.05" customHeight="1" x14ac:dyDescent="0.3">
      <c r="A253" s="136">
        <v>209</v>
      </c>
      <c r="B253" s="165" t="str">
        <f>IF($A253&gt;MIN($A$10,$A$2),"",INDEX(DemoHistory[Date],$A253))</f>
        <v/>
      </c>
      <c r="C253" s="166" t="str">
        <f>IF(OR($A253&gt;MIN($A$10,$A$2),$A$5=""),"",INDEX(DemoHistory[],$A253,MATCH($A$5,DemoHistory[#Headers],0)))</f>
        <v/>
      </c>
      <c r="D253" s="166" t="str">
        <f>IF($A253&gt;MIN($A$10,$A$2),"",IF(AND($A$12,$A$6=1,B253&lt;$A$7,$A$7&lt;=MAX(DemoHistory[Date])),$A$8,1))</f>
        <v/>
      </c>
      <c r="E253" s="166" t="str">
        <f t="shared" si="9"/>
        <v/>
      </c>
      <c r="F253" s="166" t="str">
        <f>IF($A253&gt;MIN($A$10,$A$2),"",IF($A253&lt;50,"n.a.",IF(COUNT(INDEX(StockDaily[Adjusted close],MAX(1,$A253-50+1)):E253)=50,AVERAGE(INDEX(StockDaily[Adjusted close],MAX(1,$A253-50+1)):E253),"n.a.")))</f>
        <v/>
      </c>
      <c r="G253" s="166" t="str">
        <f>IF($A253&gt;MIN($A$10,$A$2),"",IF($A253&lt;200,"n.a.",IF(COUNT(INDEX(StockDaily[Adjusted close],MAX(1,$A253-200+1)):E253)=200,AVERAGE(INDEX(StockDaily[Adjusted close],MAX(1,$A253-200+1)):E253),"n.a.")))</f>
        <v/>
      </c>
      <c r="H253" s="136" t="str">
        <f>IF($A253&gt;MIN($A$10,$A$2),"",IF($A$5="","Choose stock",IF(NOT($A$12),"Check split rule",IF(NOT(ISNUMBER(B253)),"Invalid date",IF(OR(B253&lt;=0,B253&lt;&gt;INT(B253)),"Invalid date",IF(COUNTIFS(DemoHistory[Date],B253)&lt;&gt;1,"Duplicate date",IF(AND($A253&gt;1,B253&lt;=B252),"Dates out of order",IF(NOT(ISNUMBER(C253)),"Missing price",IF(C253&lt;=0,"Nonpositive price","OK")))))))))</f>
        <v/>
      </c>
      <c r="I253" s="136"/>
      <c r="J253" s="136"/>
      <c r="K253" s="136"/>
      <c r="L253" s="136"/>
      <c r="M253" s="136"/>
      <c r="N253" s="136" t="e">
        <f t="shared" si="10"/>
        <v>#N/A</v>
      </c>
      <c r="O253" s="136" t="e">
        <f t="shared" si="11"/>
        <v>#N/A</v>
      </c>
    </row>
    <row r="254" spans="1:15" ht="22.05" customHeight="1" x14ac:dyDescent="0.3">
      <c r="A254" s="136">
        <v>210</v>
      </c>
      <c r="B254" s="165" t="str">
        <f>IF($A254&gt;MIN($A$10,$A$2),"",INDEX(DemoHistory[Date],$A254))</f>
        <v/>
      </c>
      <c r="C254" s="166" t="str">
        <f>IF(OR($A254&gt;MIN($A$10,$A$2),$A$5=""),"",INDEX(DemoHistory[],$A254,MATCH($A$5,DemoHistory[#Headers],0)))</f>
        <v/>
      </c>
      <c r="D254" s="166" t="str">
        <f>IF($A254&gt;MIN($A$10,$A$2),"",IF(AND($A$12,$A$6=1,B254&lt;$A$7,$A$7&lt;=MAX(DemoHistory[Date])),$A$8,1))</f>
        <v/>
      </c>
      <c r="E254" s="166" t="str">
        <f t="shared" si="9"/>
        <v/>
      </c>
      <c r="F254" s="166" t="str">
        <f>IF($A254&gt;MIN($A$10,$A$2),"",IF($A254&lt;50,"n.a.",IF(COUNT(INDEX(StockDaily[Adjusted close],MAX(1,$A254-50+1)):E254)=50,AVERAGE(INDEX(StockDaily[Adjusted close],MAX(1,$A254-50+1)):E254),"n.a.")))</f>
        <v/>
      </c>
      <c r="G254" s="166" t="str">
        <f>IF($A254&gt;MIN($A$10,$A$2),"",IF($A254&lt;200,"n.a.",IF(COUNT(INDEX(StockDaily[Adjusted close],MAX(1,$A254-200+1)):E254)=200,AVERAGE(INDEX(StockDaily[Adjusted close],MAX(1,$A254-200+1)):E254),"n.a.")))</f>
        <v/>
      </c>
      <c r="H254" s="136" t="str">
        <f>IF($A254&gt;MIN($A$10,$A$2),"",IF($A$5="","Choose stock",IF(NOT($A$12),"Check split rule",IF(NOT(ISNUMBER(B254)),"Invalid date",IF(OR(B254&lt;=0,B254&lt;&gt;INT(B254)),"Invalid date",IF(COUNTIFS(DemoHistory[Date],B254)&lt;&gt;1,"Duplicate date",IF(AND($A254&gt;1,B254&lt;=B253),"Dates out of order",IF(NOT(ISNUMBER(C254)),"Missing price",IF(C254&lt;=0,"Nonpositive price","OK")))))))))</f>
        <v/>
      </c>
      <c r="I254" s="136"/>
      <c r="J254" s="136"/>
      <c r="K254" s="136"/>
      <c r="L254" s="136"/>
      <c r="M254" s="136"/>
      <c r="N254" s="136" t="e">
        <f t="shared" si="10"/>
        <v>#N/A</v>
      </c>
      <c r="O254" s="136" t="e">
        <f t="shared" si="11"/>
        <v>#N/A</v>
      </c>
    </row>
    <row r="255" spans="1:15" ht="22.05" customHeight="1" x14ac:dyDescent="0.3">
      <c r="A255" s="136">
        <v>211</v>
      </c>
      <c r="B255" s="165" t="str">
        <f>IF($A255&gt;MIN($A$10,$A$2),"",INDEX(DemoHistory[Date],$A255))</f>
        <v/>
      </c>
      <c r="C255" s="166" t="str">
        <f>IF(OR($A255&gt;MIN($A$10,$A$2),$A$5=""),"",INDEX(DemoHistory[],$A255,MATCH($A$5,DemoHistory[#Headers],0)))</f>
        <v/>
      </c>
      <c r="D255" s="166" t="str">
        <f>IF($A255&gt;MIN($A$10,$A$2),"",IF(AND($A$12,$A$6=1,B255&lt;$A$7,$A$7&lt;=MAX(DemoHistory[Date])),$A$8,1))</f>
        <v/>
      </c>
      <c r="E255" s="166" t="str">
        <f t="shared" si="9"/>
        <v/>
      </c>
      <c r="F255" s="166" t="str">
        <f>IF($A255&gt;MIN($A$10,$A$2),"",IF($A255&lt;50,"n.a.",IF(COUNT(INDEX(StockDaily[Adjusted close],MAX(1,$A255-50+1)):E255)=50,AVERAGE(INDEX(StockDaily[Adjusted close],MAX(1,$A255-50+1)):E255),"n.a.")))</f>
        <v/>
      </c>
      <c r="G255" s="166" t="str">
        <f>IF($A255&gt;MIN($A$10,$A$2),"",IF($A255&lt;200,"n.a.",IF(COUNT(INDEX(StockDaily[Adjusted close],MAX(1,$A255-200+1)):E255)=200,AVERAGE(INDEX(StockDaily[Adjusted close],MAX(1,$A255-200+1)):E255),"n.a.")))</f>
        <v/>
      </c>
      <c r="H255" s="136" t="str">
        <f>IF($A255&gt;MIN($A$10,$A$2),"",IF($A$5="","Choose stock",IF(NOT($A$12),"Check split rule",IF(NOT(ISNUMBER(B255)),"Invalid date",IF(OR(B255&lt;=0,B255&lt;&gt;INT(B255)),"Invalid date",IF(COUNTIFS(DemoHistory[Date],B255)&lt;&gt;1,"Duplicate date",IF(AND($A255&gt;1,B255&lt;=B254),"Dates out of order",IF(NOT(ISNUMBER(C255)),"Missing price",IF(C255&lt;=0,"Nonpositive price","OK")))))))))</f>
        <v/>
      </c>
      <c r="I255" s="136"/>
      <c r="J255" s="136"/>
      <c r="K255" s="136"/>
      <c r="L255" s="136"/>
      <c r="M255" s="136"/>
      <c r="N255" s="136" t="e">
        <f t="shared" si="10"/>
        <v>#N/A</v>
      </c>
      <c r="O255" s="136" t="e">
        <f t="shared" si="11"/>
        <v>#N/A</v>
      </c>
    </row>
    <row r="256" spans="1:15" ht="22.05" customHeight="1" x14ac:dyDescent="0.3">
      <c r="A256" s="136">
        <v>212</v>
      </c>
      <c r="B256" s="165" t="str">
        <f>IF($A256&gt;MIN($A$10,$A$2),"",INDEX(DemoHistory[Date],$A256))</f>
        <v/>
      </c>
      <c r="C256" s="166" t="str">
        <f>IF(OR($A256&gt;MIN($A$10,$A$2),$A$5=""),"",INDEX(DemoHistory[],$A256,MATCH($A$5,DemoHistory[#Headers],0)))</f>
        <v/>
      </c>
      <c r="D256" s="166" t="str">
        <f>IF($A256&gt;MIN($A$10,$A$2),"",IF(AND($A$12,$A$6=1,B256&lt;$A$7,$A$7&lt;=MAX(DemoHistory[Date])),$A$8,1))</f>
        <v/>
      </c>
      <c r="E256" s="166" t="str">
        <f t="shared" si="9"/>
        <v/>
      </c>
      <c r="F256" s="166" t="str">
        <f>IF($A256&gt;MIN($A$10,$A$2),"",IF($A256&lt;50,"n.a.",IF(COUNT(INDEX(StockDaily[Adjusted close],MAX(1,$A256-50+1)):E256)=50,AVERAGE(INDEX(StockDaily[Adjusted close],MAX(1,$A256-50+1)):E256),"n.a.")))</f>
        <v/>
      </c>
      <c r="G256" s="166" t="str">
        <f>IF($A256&gt;MIN($A$10,$A$2),"",IF($A256&lt;200,"n.a.",IF(COUNT(INDEX(StockDaily[Adjusted close],MAX(1,$A256-200+1)):E256)=200,AVERAGE(INDEX(StockDaily[Adjusted close],MAX(1,$A256-200+1)):E256),"n.a.")))</f>
        <v/>
      </c>
      <c r="H256" s="136" t="str">
        <f>IF($A256&gt;MIN($A$10,$A$2),"",IF($A$5="","Choose stock",IF(NOT($A$12),"Check split rule",IF(NOT(ISNUMBER(B256)),"Invalid date",IF(OR(B256&lt;=0,B256&lt;&gt;INT(B256)),"Invalid date",IF(COUNTIFS(DemoHistory[Date],B256)&lt;&gt;1,"Duplicate date",IF(AND($A256&gt;1,B256&lt;=B255),"Dates out of order",IF(NOT(ISNUMBER(C256)),"Missing price",IF(C256&lt;=0,"Nonpositive price","OK")))))))))</f>
        <v/>
      </c>
      <c r="I256" s="136"/>
      <c r="J256" s="136"/>
      <c r="K256" s="136"/>
      <c r="L256" s="136"/>
      <c r="M256" s="136"/>
      <c r="N256" s="136" t="e">
        <f t="shared" si="10"/>
        <v>#N/A</v>
      </c>
      <c r="O256" s="136" t="e">
        <f t="shared" si="11"/>
        <v>#N/A</v>
      </c>
    </row>
    <row r="257" spans="1:15" ht="22.05" customHeight="1" x14ac:dyDescent="0.3">
      <c r="A257" s="136">
        <v>213</v>
      </c>
      <c r="B257" s="165" t="str">
        <f>IF($A257&gt;MIN($A$10,$A$2),"",INDEX(DemoHistory[Date],$A257))</f>
        <v/>
      </c>
      <c r="C257" s="166" t="str">
        <f>IF(OR($A257&gt;MIN($A$10,$A$2),$A$5=""),"",INDEX(DemoHistory[],$A257,MATCH($A$5,DemoHistory[#Headers],0)))</f>
        <v/>
      </c>
      <c r="D257" s="166" t="str">
        <f>IF($A257&gt;MIN($A$10,$A$2),"",IF(AND($A$12,$A$6=1,B257&lt;$A$7,$A$7&lt;=MAX(DemoHistory[Date])),$A$8,1))</f>
        <v/>
      </c>
      <c r="E257" s="166" t="str">
        <f t="shared" si="9"/>
        <v/>
      </c>
      <c r="F257" s="166" t="str">
        <f>IF($A257&gt;MIN($A$10,$A$2),"",IF($A257&lt;50,"n.a.",IF(COUNT(INDEX(StockDaily[Adjusted close],MAX(1,$A257-50+1)):E257)=50,AVERAGE(INDEX(StockDaily[Adjusted close],MAX(1,$A257-50+1)):E257),"n.a.")))</f>
        <v/>
      </c>
      <c r="G257" s="166" t="str">
        <f>IF($A257&gt;MIN($A$10,$A$2),"",IF($A257&lt;200,"n.a.",IF(COUNT(INDEX(StockDaily[Adjusted close],MAX(1,$A257-200+1)):E257)=200,AVERAGE(INDEX(StockDaily[Adjusted close],MAX(1,$A257-200+1)):E257),"n.a.")))</f>
        <v/>
      </c>
      <c r="H257" s="136" t="str">
        <f>IF($A257&gt;MIN($A$10,$A$2),"",IF($A$5="","Choose stock",IF(NOT($A$12),"Check split rule",IF(NOT(ISNUMBER(B257)),"Invalid date",IF(OR(B257&lt;=0,B257&lt;&gt;INT(B257)),"Invalid date",IF(COUNTIFS(DemoHistory[Date],B257)&lt;&gt;1,"Duplicate date",IF(AND($A257&gt;1,B257&lt;=B256),"Dates out of order",IF(NOT(ISNUMBER(C257)),"Missing price",IF(C257&lt;=0,"Nonpositive price","OK")))))))))</f>
        <v/>
      </c>
      <c r="I257" s="136"/>
      <c r="J257" s="136"/>
      <c r="K257" s="136"/>
      <c r="L257" s="136"/>
      <c r="M257" s="136"/>
      <c r="N257" s="136" t="e">
        <f t="shared" si="10"/>
        <v>#N/A</v>
      </c>
      <c r="O257" s="136" t="e">
        <f t="shared" si="11"/>
        <v>#N/A</v>
      </c>
    </row>
    <row r="258" spans="1:15" ht="22.05" customHeight="1" x14ac:dyDescent="0.3">
      <c r="A258" s="136">
        <v>214</v>
      </c>
      <c r="B258" s="165" t="str">
        <f>IF($A258&gt;MIN($A$10,$A$2),"",INDEX(DemoHistory[Date],$A258))</f>
        <v/>
      </c>
      <c r="C258" s="166" t="str">
        <f>IF(OR($A258&gt;MIN($A$10,$A$2),$A$5=""),"",INDEX(DemoHistory[],$A258,MATCH($A$5,DemoHistory[#Headers],0)))</f>
        <v/>
      </c>
      <c r="D258" s="166" t="str">
        <f>IF($A258&gt;MIN($A$10,$A$2),"",IF(AND($A$12,$A$6=1,B258&lt;$A$7,$A$7&lt;=MAX(DemoHistory[Date])),$A$8,1))</f>
        <v/>
      </c>
      <c r="E258" s="166" t="str">
        <f t="shared" si="9"/>
        <v/>
      </c>
      <c r="F258" s="166" t="str">
        <f>IF($A258&gt;MIN($A$10,$A$2),"",IF($A258&lt;50,"n.a.",IF(COUNT(INDEX(StockDaily[Adjusted close],MAX(1,$A258-50+1)):E258)=50,AVERAGE(INDEX(StockDaily[Adjusted close],MAX(1,$A258-50+1)):E258),"n.a.")))</f>
        <v/>
      </c>
      <c r="G258" s="166" t="str">
        <f>IF($A258&gt;MIN($A$10,$A$2),"",IF($A258&lt;200,"n.a.",IF(COUNT(INDEX(StockDaily[Adjusted close],MAX(1,$A258-200+1)):E258)=200,AVERAGE(INDEX(StockDaily[Adjusted close],MAX(1,$A258-200+1)):E258),"n.a.")))</f>
        <v/>
      </c>
      <c r="H258" s="136" t="str">
        <f>IF($A258&gt;MIN($A$10,$A$2),"",IF($A$5="","Choose stock",IF(NOT($A$12),"Check split rule",IF(NOT(ISNUMBER(B258)),"Invalid date",IF(OR(B258&lt;=0,B258&lt;&gt;INT(B258)),"Invalid date",IF(COUNTIFS(DemoHistory[Date],B258)&lt;&gt;1,"Duplicate date",IF(AND($A258&gt;1,B258&lt;=B257),"Dates out of order",IF(NOT(ISNUMBER(C258)),"Missing price",IF(C258&lt;=0,"Nonpositive price","OK")))))))))</f>
        <v/>
      </c>
      <c r="I258" s="136"/>
      <c r="J258" s="136"/>
      <c r="K258" s="136"/>
      <c r="L258" s="136"/>
      <c r="M258" s="136"/>
      <c r="N258" s="136" t="e">
        <f t="shared" si="10"/>
        <v>#N/A</v>
      </c>
      <c r="O258" s="136" t="e">
        <f t="shared" si="11"/>
        <v>#N/A</v>
      </c>
    </row>
    <row r="259" spans="1:15" ht="22.05" customHeight="1" x14ac:dyDescent="0.3">
      <c r="A259" s="136">
        <v>215</v>
      </c>
      <c r="B259" s="165" t="str">
        <f>IF($A259&gt;MIN($A$10,$A$2),"",INDEX(DemoHistory[Date],$A259))</f>
        <v/>
      </c>
      <c r="C259" s="166" t="str">
        <f>IF(OR($A259&gt;MIN($A$10,$A$2),$A$5=""),"",INDEX(DemoHistory[],$A259,MATCH($A$5,DemoHistory[#Headers],0)))</f>
        <v/>
      </c>
      <c r="D259" s="166" t="str">
        <f>IF($A259&gt;MIN($A$10,$A$2),"",IF(AND($A$12,$A$6=1,B259&lt;$A$7,$A$7&lt;=MAX(DemoHistory[Date])),$A$8,1))</f>
        <v/>
      </c>
      <c r="E259" s="166" t="str">
        <f t="shared" si="9"/>
        <v/>
      </c>
      <c r="F259" s="166" t="str">
        <f>IF($A259&gt;MIN($A$10,$A$2),"",IF($A259&lt;50,"n.a.",IF(COUNT(INDEX(StockDaily[Adjusted close],MAX(1,$A259-50+1)):E259)=50,AVERAGE(INDEX(StockDaily[Adjusted close],MAX(1,$A259-50+1)):E259),"n.a.")))</f>
        <v/>
      </c>
      <c r="G259" s="166" t="str">
        <f>IF($A259&gt;MIN($A$10,$A$2),"",IF($A259&lt;200,"n.a.",IF(COUNT(INDEX(StockDaily[Adjusted close],MAX(1,$A259-200+1)):E259)=200,AVERAGE(INDEX(StockDaily[Adjusted close],MAX(1,$A259-200+1)):E259),"n.a.")))</f>
        <v/>
      </c>
      <c r="H259" s="136" t="str">
        <f>IF($A259&gt;MIN($A$10,$A$2),"",IF($A$5="","Choose stock",IF(NOT($A$12),"Check split rule",IF(NOT(ISNUMBER(B259)),"Invalid date",IF(OR(B259&lt;=0,B259&lt;&gt;INT(B259)),"Invalid date",IF(COUNTIFS(DemoHistory[Date],B259)&lt;&gt;1,"Duplicate date",IF(AND($A259&gt;1,B259&lt;=B258),"Dates out of order",IF(NOT(ISNUMBER(C259)),"Missing price",IF(C259&lt;=0,"Nonpositive price","OK")))))))))</f>
        <v/>
      </c>
      <c r="I259" s="136"/>
      <c r="J259" s="136"/>
      <c r="K259" s="136"/>
      <c r="L259" s="136"/>
      <c r="M259" s="136"/>
      <c r="N259" s="136" t="e">
        <f t="shared" si="10"/>
        <v>#N/A</v>
      </c>
      <c r="O259" s="136" t="e">
        <f t="shared" si="11"/>
        <v>#N/A</v>
      </c>
    </row>
    <row r="260" spans="1:15" ht="22.05" customHeight="1" x14ac:dyDescent="0.3">
      <c r="A260" s="136">
        <v>216</v>
      </c>
      <c r="B260" s="165" t="str">
        <f>IF($A260&gt;MIN($A$10,$A$2),"",INDEX(DemoHistory[Date],$A260))</f>
        <v/>
      </c>
      <c r="C260" s="166" t="str">
        <f>IF(OR($A260&gt;MIN($A$10,$A$2),$A$5=""),"",INDEX(DemoHistory[],$A260,MATCH($A$5,DemoHistory[#Headers],0)))</f>
        <v/>
      </c>
      <c r="D260" s="166" t="str">
        <f>IF($A260&gt;MIN($A$10,$A$2),"",IF(AND($A$12,$A$6=1,B260&lt;$A$7,$A$7&lt;=MAX(DemoHistory[Date])),$A$8,1))</f>
        <v/>
      </c>
      <c r="E260" s="166" t="str">
        <f t="shared" si="9"/>
        <v/>
      </c>
      <c r="F260" s="166" t="str">
        <f>IF($A260&gt;MIN($A$10,$A$2),"",IF($A260&lt;50,"n.a.",IF(COUNT(INDEX(StockDaily[Adjusted close],MAX(1,$A260-50+1)):E260)=50,AVERAGE(INDEX(StockDaily[Adjusted close],MAX(1,$A260-50+1)):E260),"n.a.")))</f>
        <v/>
      </c>
      <c r="G260" s="166" t="str">
        <f>IF($A260&gt;MIN($A$10,$A$2),"",IF($A260&lt;200,"n.a.",IF(COUNT(INDEX(StockDaily[Adjusted close],MAX(1,$A260-200+1)):E260)=200,AVERAGE(INDEX(StockDaily[Adjusted close],MAX(1,$A260-200+1)):E260),"n.a.")))</f>
        <v/>
      </c>
      <c r="H260" s="136" t="str">
        <f>IF($A260&gt;MIN($A$10,$A$2),"",IF($A$5="","Choose stock",IF(NOT($A$12),"Check split rule",IF(NOT(ISNUMBER(B260)),"Invalid date",IF(OR(B260&lt;=0,B260&lt;&gt;INT(B260)),"Invalid date",IF(COUNTIFS(DemoHistory[Date],B260)&lt;&gt;1,"Duplicate date",IF(AND($A260&gt;1,B260&lt;=B259),"Dates out of order",IF(NOT(ISNUMBER(C260)),"Missing price",IF(C260&lt;=0,"Nonpositive price","OK")))))))))</f>
        <v/>
      </c>
      <c r="I260" s="136"/>
      <c r="J260" s="136"/>
      <c r="K260" s="136"/>
      <c r="L260" s="136"/>
      <c r="M260" s="136"/>
      <c r="N260" s="136" t="e">
        <f t="shared" si="10"/>
        <v>#N/A</v>
      </c>
      <c r="O260" s="136" t="e">
        <f t="shared" si="11"/>
        <v>#N/A</v>
      </c>
    </row>
    <row r="261" spans="1:15" ht="22.05" customHeight="1" x14ac:dyDescent="0.3">
      <c r="A261" s="136">
        <v>217</v>
      </c>
      <c r="B261" s="165" t="str">
        <f>IF($A261&gt;MIN($A$10,$A$2),"",INDEX(DemoHistory[Date],$A261))</f>
        <v/>
      </c>
      <c r="C261" s="166" t="str">
        <f>IF(OR($A261&gt;MIN($A$10,$A$2),$A$5=""),"",INDEX(DemoHistory[],$A261,MATCH($A$5,DemoHistory[#Headers],0)))</f>
        <v/>
      </c>
      <c r="D261" s="166" t="str">
        <f>IF($A261&gt;MIN($A$10,$A$2),"",IF(AND($A$12,$A$6=1,B261&lt;$A$7,$A$7&lt;=MAX(DemoHistory[Date])),$A$8,1))</f>
        <v/>
      </c>
      <c r="E261" s="166" t="str">
        <f t="shared" si="9"/>
        <v/>
      </c>
      <c r="F261" s="166" t="str">
        <f>IF($A261&gt;MIN($A$10,$A$2),"",IF($A261&lt;50,"n.a.",IF(COUNT(INDEX(StockDaily[Adjusted close],MAX(1,$A261-50+1)):E261)=50,AVERAGE(INDEX(StockDaily[Adjusted close],MAX(1,$A261-50+1)):E261),"n.a.")))</f>
        <v/>
      </c>
      <c r="G261" s="166" t="str">
        <f>IF($A261&gt;MIN($A$10,$A$2),"",IF($A261&lt;200,"n.a.",IF(COUNT(INDEX(StockDaily[Adjusted close],MAX(1,$A261-200+1)):E261)=200,AVERAGE(INDEX(StockDaily[Adjusted close],MAX(1,$A261-200+1)):E261),"n.a.")))</f>
        <v/>
      </c>
      <c r="H261" s="136" t="str">
        <f>IF($A261&gt;MIN($A$10,$A$2),"",IF($A$5="","Choose stock",IF(NOT($A$12),"Check split rule",IF(NOT(ISNUMBER(B261)),"Invalid date",IF(OR(B261&lt;=0,B261&lt;&gt;INT(B261)),"Invalid date",IF(COUNTIFS(DemoHistory[Date],B261)&lt;&gt;1,"Duplicate date",IF(AND($A261&gt;1,B261&lt;=B260),"Dates out of order",IF(NOT(ISNUMBER(C261)),"Missing price",IF(C261&lt;=0,"Nonpositive price","OK")))))))))</f>
        <v/>
      </c>
      <c r="I261" s="136"/>
      <c r="J261" s="136"/>
      <c r="K261" s="136"/>
      <c r="L261" s="136"/>
      <c r="M261" s="136"/>
      <c r="N261" s="136" t="e">
        <f t="shared" si="10"/>
        <v>#N/A</v>
      </c>
      <c r="O261" s="136" t="e">
        <f t="shared" si="11"/>
        <v>#N/A</v>
      </c>
    </row>
    <row r="262" spans="1:15" ht="22.05" customHeight="1" x14ac:dyDescent="0.3">
      <c r="A262" s="136">
        <v>218</v>
      </c>
      <c r="B262" s="165" t="str">
        <f>IF($A262&gt;MIN($A$10,$A$2),"",INDEX(DemoHistory[Date],$A262))</f>
        <v/>
      </c>
      <c r="C262" s="166" t="str">
        <f>IF(OR($A262&gt;MIN($A$10,$A$2),$A$5=""),"",INDEX(DemoHistory[],$A262,MATCH($A$5,DemoHistory[#Headers],0)))</f>
        <v/>
      </c>
      <c r="D262" s="166" t="str">
        <f>IF($A262&gt;MIN($A$10,$A$2),"",IF(AND($A$12,$A$6=1,B262&lt;$A$7,$A$7&lt;=MAX(DemoHistory[Date])),$A$8,1))</f>
        <v/>
      </c>
      <c r="E262" s="166" t="str">
        <f t="shared" si="9"/>
        <v/>
      </c>
      <c r="F262" s="166" t="str">
        <f>IF($A262&gt;MIN($A$10,$A$2),"",IF($A262&lt;50,"n.a.",IF(COUNT(INDEX(StockDaily[Adjusted close],MAX(1,$A262-50+1)):E262)=50,AVERAGE(INDEX(StockDaily[Adjusted close],MAX(1,$A262-50+1)):E262),"n.a.")))</f>
        <v/>
      </c>
      <c r="G262" s="166" t="str">
        <f>IF($A262&gt;MIN($A$10,$A$2),"",IF($A262&lt;200,"n.a.",IF(COUNT(INDEX(StockDaily[Adjusted close],MAX(1,$A262-200+1)):E262)=200,AVERAGE(INDEX(StockDaily[Adjusted close],MAX(1,$A262-200+1)):E262),"n.a.")))</f>
        <v/>
      </c>
      <c r="H262" s="136" t="str">
        <f>IF($A262&gt;MIN($A$10,$A$2),"",IF($A$5="","Choose stock",IF(NOT($A$12),"Check split rule",IF(NOT(ISNUMBER(B262)),"Invalid date",IF(OR(B262&lt;=0,B262&lt;&gt;INT(B262)),"Invalid date",IF(COUNTIFS(DemoHistory[Date],B262)&lt;&gt;1,"Duplicate date",IF(AND($A262&gt;1,B262&lt;=B261),"Dates out of order",IF(NOT(ISNUMBER(C262)),"Missing price",IF(C262&lt;=0,"Nonpositive price","OK")))))))))</f>
        <v/>
      </c>
      <c r="I262" s="136"/>
      <c r="J262" s="136"/>
      <c r="K262" s="136"/>
      <c r="L262" s="136"/>
      <c r="M262" s="136"/>
      <c r="N262" s="136" t="e">
        <f t="shared" si="10"/>
        <v>#N/A</v>
      </c>
      <c r="O262" s="136" t="e">
        <f t="shared" si="11"/>
        <v>#N/A</v>
      </c>
    </row>
    <row r="263" spans="1:15" ht="22.05" customHeight="1" x14ac:dyDescent="0.3">
      <c r="A263" s="136">
        <v>219</v>
      </c>
      <c r="B263" s="165" t="str">
        <f>IF($A263&gt;MIN($A$10,$A$2),"",INDEX(DemoHistory[Date],$A263))</f>
        <v/>
      </c>
      <c r="C263" s="166" t="str">
        <f>IF(OR($A263&gt;MIN($A$10,$A$2),$A$5=""),"",INDEX(DemoHistory[],$A263,MATCH($A$5,DemoHistory[#Headers],0)))</f>
        <v/>
      </c>
      <c r="D263" s="166" t="str">
        <f>IF($A263&gt;MIN($A$10,$A$2),"",IF(AND($A$12,$A$6=1,B263&lt;$A$7,$A$7&lt;=MAX(DemoHistory[Date])),$A$8,1))</f>
        <v/>
      </c>
      <c r="E263" s="166" t="str">
        <f t="shared" si="9"/>
        <v/>
      </c>
      <c r="F263" s="166" t="str">
        <f>IF($A263&gt;MIN($A$10,$A$2),"",IF($A263&lt;50,"n.a.",IF(COUNT(INDEX(StockDaily[Adjusted close],MAX(1,$A263-50+1)):E263)=50,AVERAGE(INDEX(StockDaily[Adjusted close],MAX(1,$A263-50+1)):E263),"n.a.")))</f>
        <v/>
      </c>
      <c r="G263" s="166" t="str">
        <f>IF($A263&gt;MIN($A$10,$A$2),"",IF($A263&lt;200,"n.a.",IF(COUNT(INDEX(StockDaily[Adjusted close],MAX(1,$A263-200+1)):E263)=200,AVERAGE(INDEX(StockDaily[Adjusted close],MAX(1,$A263-200+1)):E263),"n.a.")))</f>
        <v/>
      </c>
      <c r="H263" s="136" t="str">
        <f>IF($A263&gt;MIN($A$10,$A$2),"",IF($A$5="","Choose stock",IF(NOT($A$12),"Check split rule",IF(NOT(ISNUMBER(B263)),"Invalid date",IF(OR(B263&lt;=0,B263&lt;&gt;INT(B263)),"Invalid date",IF(COUNTIFS(DemoHistory[Date],B263)&lt;&gt;1,"Duplicate date",IF(AND($A263&gt;1,B263&lt;=B262),"Dates out of order",IF(NOT(ISNUMBER(C263)),"Missing price",IF(C263&lt;=0,"Nonpositive price","OK")))))))))</f>
        <v/>
      </c>
      <c r="I263" s="136"/>
      <c r="J263" s="136"/>
      <c r="K263" s="136"/>
      <c r="L263" s="136"/>
      <c r="M263" s="136"/>
      <c r="N263" s="136" t="e">
        <f t="shared" si="10"/>
        <v>#N/A</v>
      </c>
      <c r="O263" s="136" t="e">
        <f t="shared" si="11"/>
        <v>#N/A</v>
      </c>
    </row>
    <row r="264" spans="1:15" ht="22.05" customHeight="1" x14ac:dyDescent="0.3">
      <c r="A264" s="136">
        <v>220</v>
      </c>
      <c r="B264" s="165" t="str">
        <f>IF($A264&gt;MIN($A$10,$A$2),"",INDEX(DemoHistory[Date],$A264))</f>
        <v/>
      </c>
      <c r="C264" s="166" t="str">
        <f>IF(OR($A264&gt;MIN($A$10,$A$2),$A$5=""),"",INDEX(DemoHistory[],$A264,MATCH($A$5,DemoHistory[#Headers],0)))</f>
        <v/>
      </c>
      <c r="D264" s="166" t="str">
        <f>IF($A264&gt;MIN($A$10,$A$2),"",IF(AND($A$12,$A$6=1,B264&lt;$A$7,$A$7&lt;=MAX(DemoHistory[Date])),$A$8,1))</f>
        <v/>
      </c>
      <c r="E264" s="166" t="str">
        <f t="shared" si="9"/>
        <v/>
      </c>
      <c r="F264" s="166" t="str">
        <f>IF($A264&gt;MIN($A$10,$A$2),"",IF($A264&lt;50,"n.a.",IF(COUNT(INDEX(StockDaily[Adjusted close],MAX(1,$A264-50+1)):E264)=50,AVERAGE(INDEX(StockDaily[Adjusted close],MAX(1,$A264-50+1)):E264),"n.a.")))</f>
        <v/>
      </c>
      <c r="G264" s="166" t="str">
        <f>IF($A264&gt;MIN($A$10,$A$2),"",IF($A264&lt;200,"n.a.",IF(COUNT(INDEX(StockDaily[Adjusted close],MAX(1,$A264-200+1)):E264)=200,AVERAGE(INDEX(StockDaily[Adjusted close],MAX(1,$A264-200+1)):E264),"n.a.")))</f>
        <v/>
      </c>
      <c r="H264" s="136" t="str">
        <f>IF($A264&gt;MIN($A$10,$A$2),"",IF($A$5="","Choose stock",IF(NOT($A$12),"Check split rule",IF(NOT(ISNUMBER(B264)),"Invalid date",IF(OR(B264&lt;=0,B264&lt;&gt;INT(B264)),"Invalid date",IF(COUNTIFS(DemoHistory[Date],B264)&lt;&gt;1,"Duplicate date",IF(AND($A264&gt;1,B264&lt;=B263),"Dates out of order",IF(NOT(ISNUMBER(C264)),"Missing price",IF(C264&lt;=0,"Nonpositive price","OK")))))))))</f>
        <v/>
      </c>
      <c r="I264" s="136"/>
      <c r="J264" s="136"/>
      <c r="K264" s="136"/>
      <c r="L264" s="136"/>
      <c r="M264" s="136"/>
      <c r="N264" s="136" t="e">
        <f t="shared" si="10"/>
        <v>#N/A</v>
      </c>
      <c r="O264" s="136" t="e">
        <f t="shared" si="11"/>
        <v>#N/A</v>
      </c>
    </row>
    <row r="265" spans="1:15" ht="22.05" customHeight="1" x14ac:dyDescent="0.3">
      <c r="A265" s="136">
        <v>221</v>
      </c>
      <c r="B265" s="165" t="str">
        <f>IF($A265&gt;MIN($A$10,$A$2),"",INDEX(DemoHistory[Date],$A265))</f>
        <v/>
      </c>
      <c r="C265" s="166" t="str">
        <f>IF(OR($A265&gt;MIN($A$10,$A$2),$A$5=""),"",INDEX(DemoHistory[],$A265,MATCH($A$5,DemoHistory[#Headers],0)))</f>
        <v/>
      </c>
      <c r="D265" s="166" t="str">
        <f>IF($A265&gt;MIN($A$10,$A$2),"",IF(AND($A$12,$A$6=1,B265&lt;$A$7,$A$7&lt;=MAX(DemoHistory[Date])),$A$8,1))</f>
        <v/>
      </c>
      <c r="E265" s="166" t="str">
        <f t="shared" si="9"/>
        <v/>
      </c>
      <c r="F265" s="166" t="str">
        <f>IF($A265&gt;MIN($A$10,$A$2),"",IF($A265&lt;50,"n.a.",IF(COUNT(INDEX(StockDaily[Adjusted close],MAX(1,$A265-50+1)):E265)=50,AVERAGE(INDEX(StockDaily[Adjusted close],MAX(1,$A265-50+1)):E265),"n.a.")))</f>
        <v/>
      </c>
      <c r="G265" s="166" t="str">
        <f>IF($A265&gt;MIN($A$10,$A$2),"",IF($A265&lt;200,"n.a.",IF(COUNT(INDEX(StockDaily[Adjusted close],MAX(1,$A265-200+1)):E265)=200,AVERAGE(INDEX(StockDaily[Adjusted close],MAX(1,$A265-200+1)):E265),"n.a.")))</f>
        <v/>
      </c>
      <c r="H265" s="136" t="str">
        <f>IF($A265&gt;MIN($A$10,$A$2),"",IF($A$5="","Choose stock",IF(NOT($A$12),"Check split rule",IF(NOT(ISNUMBER(B265)),"Invalid date",IF(OR(B265&lt;=0,B265&lt;&gt;INT(B265)),"Invalid date",IF(COUNTIFS(DemoHistory[Date],B265)&lt;&gt;1,"Duplicate date",IF(AND($A265&gt;1,B265&lt;=B264),"Dates out of order",IF(NOT(ISNUMBER(C265)),"Missing price",IF(C265&lt;=0,"Nonpositive price","OK")))))))))</f>
        <v/>
      </c>
      <c r="I265" s="136"/>
      <c r="J265" s="136"/>
      <c r="K265" s="136"/>
      <c r="L265" s="136"/>
      <c r="M265" s="136"/>
      <c r="N265" s="136" t="e">
        <f t="shared" si="10"/>
        <v>#N/A</v>
      </c>
      <c r="O265" s="136" t="e">
        <f t="shared" si="11"/>
        <v>#N/A</v>
      </c>
    </row>
    <row r="266" spans="1:15" ht="22.05" customHeight="1" x14ac:dyDescent="0.3">
      <c r="A266" s="136">
        <v>222</v>
      </c>
      <c r="B266" s="165" t="str">
        <f>IF($A266&gt;MIN($A$10,$A$2),"",INDEX(DemoHistory[Date],$A266))</f>
        <v/>
      </c>
      <c r="C266" s="166" t="str">
        <f>IF(OR($A266&gt;MIN($A$10,$A$2),$A$5=""),"",INDEX(DemoHistory[],$A266,MATCH($A$5,DemoHistory[#Headers],0)))</f>
        <v/>
      </c>
      <c r="D266" s="166" t="str">
        <f>IF($A266&gt;MIN($A$10,$A$2),"",IF(AND($A$12,$A$6=1,B266&lt;$A$7,$A$7&lt;=MAX(DemoHistory[Date])),$A$8,1))</f>
        <v/>
      </c>
      <c r="E266" s="166" t="str">
        <f t="shared" si="9"/>
        <v/>
      </c>
      <c r="F266" s="166" t="str">
        <f>IF($A266&gt;MIN($A$10,$A$2),"",IF($A266&lt;50,"n.a.",IF(COUNT(INDEX(StockDaily[Adjusted close],MAX(1,$A266-50+1)):E266)=50,AVERAGE(INDEX(StockDaily[Adjusted close],MAX(1,$A266-50+1)):E266),"n.a.")))</f>
        <v/>
      </c>
      <c r="G266" s="166" t="str">
        <f>IF($A266&gt;MIN($A$10,$A$2),"",IF($A266&lt;200,"n.a.",IF(COUNT(INDEX(StockDaily[Adjusted close],MAX(1,$A266-200+1)):E266)=200,AVERAGE(INDEX(StockDaily[Adjusted close],MAX(1,$A266-200+1)):E266),"n.a.")))</f>
        <v/>
      </c>
      <c r="H266" s="136" t="str">
        <f>IF($A266&gt;MIN($A$10,$A$2),"",IF($A$5="","Choose stock",IF(NOT($A$12),"Check split rule",IF(NOT(ISNUMBER(B266)),"Invalid date",IF(OR(B266&lt;=0,B266&lt;&gt;INT(B266)),"Invalid date",IF(COUNTIFS(DemoHistory[Date],B266)&lt;&gt;1,"Duplicate date",IF(AND($A266&gt;1,B266&lt;=B265),"Dates out of order",IF(NOT(ISNUMBER(C266)),"Missing price",IF(C266&lt;=0,"Nonpositive price","OK")))))))))</f>
        <v/>
      </c>
      <c r="I266" s="136"/>
      <c r="J266" s="136"/>
      <c r="K266" s="136"/>
      <c r="L266" s="136"/>
      <c r="M266" s="136"/>
      <c r="N266" s="136" t="e">
        <f t="shared" si="10"/>
        <v>#N/A</v>
      </c>
      <c r="O266" s="136" t="e">
        <f t="shared" si="11"/>
        <v>#N/A</v>
      </c>
    </row>
    <row r="267" spans="1:15" ht="22.05" customHeight="1" x14ac:dyDescent="0.3">
      <c r="A267" s="136">
        <v>223</v>
      </c>
      <c r="B267" s="165" t="str">
        <f>IF($A267&gt;MIN($A$10,$A$2),"",INDEX(DemoHistory[Date],$A267))</f>
        <v/>
      </c>
      <c r="C267" s="166" t="str">
        <f>IF(OR($A267&gt;MIN($A$10,$A$2),$A$5=""),"",INDEX(DemoHistory[],$A267,MATCH($A$5,DemoHistory[#Headers],0)))</f>
        <v/>
      </c>
      <c r="D267" s="166" t="str">
        <f>IF($A267&gt;MIN($A$10,$A$2),"",IF(AND($A$12,$A$6=1,B267&lt;$A$7,$A$7&lt;=MAX(DemoHistory[Date])),$A$8,1))</f>
        <v/>
      </c>
      <c r="E267" s="166" t="str">
        <f t="shared" si="9"/>
        <v/>
      </c>
      <c r="F267" s="166" t="str">
        <f>IF($A267&gt;MIN($A$10,$A$2),"",IF($A267&lt;50,"n.a.",IF(COUNT(INDEX(StockDaily[Adjusted close],MAX(1,$A267-50+1)):E267)=50,AVERAGE(INDEX(StockDaily[Adjusted close],MAX(1,$A267-50+1)):E267),"n.a.")))</f>
        <v/>
      </c>
      <c r="G267" s="166" t="str">
        <f>IF($A267&gt;MIN($A$10,$A$2),"",IF($A267&lt;200,"n.a.",IF(COUNT(INDEX(StockDaily[Adjusted close],MAX(1,$A267-200+1)):E267)=200,AVERAGE(INDEX(StockDaily[Adjusted close],MAX(1,$A267-200+1)):E267),"n.a.")))</f>
        <v/>
      </c>
      <c r="H267" s="136" t="str">
        <f>IF($A267&gt;MIN($A$10,$A$2),"",IF($A$5="","Choose stock",IF(NOT($A$12),"Check split rule",IF(NOT(ISNUMBER(B267)),"Invalid date",IF(OR(B267&lt;=0,B267&lt;&gt;INT(B267)),"Invalid date",IF(COUNTIFS(DemoHistory[Date],B267)&lt;&gt;1,"Duplicate date",IF(AND($A267&gt;1,B267&lt;=B266),"Dates out of order",IF(NOT(ISNUMBER(C267)),"Missing price",IF(C267&lt;=0,"Nonpositive price","OK")))))))))</f>
        <v/>
      </c>
      <c r="I267" s="136"/>
      <c r="J267" s="136"/>
      <c r="K267" s="136"/>
      <c r="L267" s="136"/>
      <c r="M267" s="136"/>
      <c r="N267" s="136" t="e">
        <f t="shared" si="10"/>
        <v>#N/A</v>
      </c>
      <c r="O267" s="136" t="e">
        <f t="shared" si="11"/>
        <v>#N/A</v>
      </c>
    </row>
    <row r="268" spans="1:15" ht="22.05" customHeight="1" x14ac:dyDescent="0.3">
      <c r="A268" s="136">
        <v>224</v>
      </c>
      <c r="B268" s="165" t="str">
        <f>IF($A268&gt;MIN($A$10,$A$2),"",INDEX(DemoHistory[Date],$A268))</f>
        <v/>
      </c>
      <c r="C268" s="166" t="str">
        <f>IF(OR($A268&gt;MIN($A$10,$A$2),$A$5=""),"",INDEX(DemoHistory[],$A268,MATCH($A$5,DemoHistory[#Headers],0)))</f>
        <v/>
      </c>
      <c r="D268" s="166" t="str">
        <f>IF($A268&gt;MIN($A$10,$A$2),"",IF(AND($A$12,$A$6=1,B268&lt;$A$7,$A$7&lt;=MAX(DemoHistory[Date])),$A$8,1))</f>
        <v/>
      </c>
      <c r="E268" s="166" t="str">
        <f t="shared" si="9"/>
        <v/>
      </c>
      <c r="F268" s="166" t="str">
        <f>IF($A268&gt;MIN($A$10,$A$2),"",IF($A268&lt;50,"n.a.",IF(COUNT(INDEX(StockDaily[Adjusted close],MAX(1,$A268-50+1)):E268)=50,AVERAGE(INDEX(StockDaily[Adjusted close],MAX(1,$A268-50+1)):E268),"n.a.")))</f>
        <v/>
      </c>
      <c r="G268" s="166" t="str">
        <f>IF($A268&gt;MIN($A$10,$A$2),"",IF($A268&lt;200,"n.a.",IF(COUNT(INDEX(StockDaily[Adjusted close],MAX(1,$A268-200+1)):E268)=200,AVERAGE(INDEX(StockDaily[Adjusted close],MAX(1,$A268-200+1)):E268),"n.a.")))</f>
        <v/>
      </c>
      <c r="H268" s="136" t="str">
        <f>IF($A268&gt;MIN($A$10,$A$2),"",IF($A$5="","Choose stock",IF(NOT($A$12),"Check split rule",IF(NOT(ISNUMBER(B268)),"Invalid date",IF(OR(B268&lt;=0,B268&lt;&gt;INT(B268)),"Invalid date",IF(COUNTIFS(DemoHistory[Date],B268)&lt;&gt;1,"Duplicate date",IF(AND($A268&gt;1,B268&lt;=B267),"Dates out of order",IF(NOT(ISNUMBER(C268)),"Missing price",IF(C268&lt;=0,"Nonpositive price","OK")))))))))</f>
        <v/>
      </c>
      <c r="I268" s="136"/>
      <c r="J268" s="136"/>
      <c r="K268" s="136"/>
      <c r="L268" s="136"/>
      <c r="M268" s="136"/>
      <c r="N268" s="136" t="e">
        <f t="shared" si="10"/>
        <v>#N/A</v>
      </c>
      <c r="O268" s="136" t="e">
        <f t="shared" si="11"/>
        <v>#N/A</v>
      </c>
    </row>
    <row r="269" spans="1:15" ht="22.05" customHeight="1" x14ac:dyDescent="0.3">
      <c r="A269" s="136">
        <v>225</v>
      </c>
      <c r="B269" s="165" t="str">
        <f>IF($A269&gt;MIN($A$10,$A$2),"",INDEX(DemoHistory[Date],$A269))</f>
        <v/>
      </c>
      <c r="C269" s="166" t="str">
        <f>IF(OR($A269&gt;MIN($A$10,$A$2),$A$5=""),"",INDEX(DemoHistory[],$A269,MATCH($A$5,DemoHistory[#Headers],0)))</f>
        <v/>
      </c>
      <c r="D269" s="166" t="str">
        <f>IF($A269&gt;MIN($A$10,$A$2),"",IF(AND($A$12,$A$6=1,B269&lt;$A$7,$A$7&lt;=MAX(DemoHistory[Date])),$A$8,1))</f>
        <v/>
      </c>
      <c r="E269" s="166" t="str">
        <f t="shared" si="9"/>
        <v/>
      </c>
      <c r="F269" s="166" t="str">
        <f>IF($A269&gt;MIN($A$10,$A$2),"",IF($A269&lt;50,"n.a.",IF(COUNT(INDEX(StockDaily[Adjusted close],MAX(1,$A269-50+1)):E269)=50,AVERAGE(INDEX(StockDaily[Adjusted close],MAX(1,$A269-50+1)):E269),"n.a.")))</f>
        <v/>
      </c>
      <c r="G269" s="166" t="str">
        <f>IF($A269&gt;MIN($A$10,$A$2),"",IF($A269&lt;200,"n.a.",IF(COUNT(INDEX(StockDaily[Adjusted close],MAX(1,$A269-200+1)):E269)=200,AVERAGE(INDEX(StockDaily[Adjusted close],MAX(1,$A269-200+1)):E269),"n.a.")))</f>
        <v/>
      </c>
      <c r="H269" s="136" t="str">
        <f>IF($A269&gt;MIN($A$10,$A$2),"",IF($A$5="","Choose stock",IF(NOT($A$12),"Check split rule",IF(NOT(ISNUMBER(B269)),"Invalid date",IF(OR(B269&lt;=0,B269&lt;&gt;INT(B269)),"Invalid date",IF(COUNTIFS(DemoHistory[Date],B269)&lt;&gt;1,"Duplicate date",IF(AND($A269&gt;1,B269&lt;=B268),"Dates out of order",IF(NOT(ISNUMBER(C269)),"Missing price",IF(C269&lt;=0,"Nonpositive price","OK")))))))))</f>
        <v/>
      </c>
      <c r="I269" s="136"/>
      <c r="J269" s="136"/>
      <c r="K269" s="136"/>
      <c r="L269" s="136"/>
      <c r="M269" s="136"/>
      <c r="N269" s="136" t="e">
        <f t="shared" si="10"/>
        <v>#N/A</v>
      </c>
      <c r="O269" s="136" t="e">
        <f t="shared" si="11"/>
        <v>#N/A</v>
      </c>
    </row>
    <row r="270" spans="1:15" ht="22.05" customHeight="1" x14ac:dyDescent="0.3">
      <c r="A270" s="136">
        <v>226</v>
      </c>
      <c r="B270" s="165" t="str">
        <f>IF($A270&gt;MIN($A$10,$A$2),"",INDEX(DemoHistory[Date],$A270))</f>
        <v/>
      </c>
      <c r="C270" s="166" t="str">
        <f>IF(OR($A270&gt;MIN($A$10,$A$2),$A$5=""),"",INDEX(DemoHistory[],$A270,MATCH($A$5,DemoHistory[#Headers],0)))</f>
        <v/>
      </c>
      <c r="D270" s="166" t="str">
        <f>IF($A270&gt;MIN($A$10,$A$2),"",IF(AND($A$12,$A$6=1,B270&lt;$A$7,$A$7&lt;=MAX(DemoHistory[Date])),$A$8,1))</f>
        <v/>
      </c>
      <c r="E270" s="166" t="str">
        <f t="shared" si="9"/>
        <v/>
      </c>
      <c r="F270" s="166" t="str">
        <f>IF($A270&gt;MIN($A$10,$A$2),"",IF($A270&lt;50,"n.a.",IF(COUNT(INDEX(StockDaily[Adjusted close],MAX(1,$A270-50+1)):E270)=50,AVERAGE(INDEX(StockDaily[Adjusted close],MAX(1,$A270-50+1)):E270),"n.a.")))</f>
        <v/>
      </c>
      <c r="G270" s="166" t="str">
        <f>IF($A270&gt;MIN($A$10,$A$2),"",IF($A270&lt;200,"n.a.",IF(COUNT(INDEX(StockDaily[Adjusted close],MAX(1,$A270-200+1)):E270)=200,AVERAGE(INDEX(StockDaily[Adjusted close],MAX(1,$A270-200+1)):E270),"n.a.")))</f>
        <v/>
      </c>
      <c r="H270" s="136" t="str">
        <f>IF($A270&gt;MIN($A$10,$A$2),"",IF($A$5="","Choose stock",IF(NOT($A$12),"Check split rule",IF(NOT(ISNUMBER(B270)),"Invalid date",IF(OR(B270&lt;=0,B270&lt;&gt;INT(B270)),"Invalid date",IF(COUNTIFS(DemoHistory[Date],B270)&lt;&gt;1,"Duplicate date",IF(AND($A270&gt;1,B270&lt;=B269),"Dates out of order",IF(NOT(ISNUMBER(C270)),"Missing price",IF(C270&lt;=0,"Nonpositive price","OK")))))))))</f>
        <v/>
      </c>
      <c r="I270" s="136"/>
      <c r="J270" s="136"/>
      <c r="K270" s="136"/>
      <c r="L270" s="136"/>
      <c r="M270" s="136"/>
      <c r="N270" s="136" t="e">
        <f t="shared" si="10"/>
        <v>#N/A</v>
      </c>
      <c r="O270" s="136" t="e">
        <f t="shared" si="11"/>
        <v>#N/A</v>
      </c>
    </row>
    <row r="271" spans="1:15" ht="22.05" customHeight="1" x14ac:dyDescent="0.3">
      <c r="A271" s="136">
        <v>227</v>
      </c>
      <c r="B271" s="165" t="str">
        <f>IF($A271&gt;MIN($A$10,$A$2),"",INDEX(DemoHistory[Date],$A271))</f>
        <v/>
      </c>
      <c r="C271" s="166" t="str">
        <f>IF(OR($A271&gt;MIN($A$10,$A$2),$A$5=""),"",INDEX(DemoHistory[],$A271,MATCH($A$5,DemoHistory[#Headers],0)))</f>
        <v/>
      </c>
      <c r="D271" s="166" t="str">
        <f>IF($A271&gt;MIN($A$10,$A$2),"",IF(AND($A$12,$A$6=1,B271&lt;$A$7,$A$7&lt;=MAX(DemoHistory[Date])),$A$8,1))</f>
        <v/>
      </c>
      <c r="E271" s="166" t="str">
        <f t="shared" si="9"/>
        <v/>
      </c>
      <c r="F271" s="166" t="str">
        <f>IF($A271&gt;MIN($A$10,$A$2),"",IF($A271&lt;50,"n.a.",IF(COUNT(INDEX(StockDaily[Adjusted close],MAX(1,$A271-50+1)):E271)=50,AVERAGE(INDEX(StockDaily[Adjusted close],MAX(1,$A271-50+1)):E271),"n.a.")))</f>
        <v/>
      </c>
      <c r="G271" s="166" t="str">
        <f>IF($A271&gt;MIN($A$10,$A$2),"",IF($A271&lt;200,"n.a.",IF(COUNT(INDEX(StockDaily[Adjusted close],MAX(1,$A271-200+1)):E271)=200,AVERAGE(INDEX(StockDaily[Adjusted close],MAX(1,$A271-200+1)):E271),"n.a.")))</f>
        <v/>
      </c>
      <c r="H271" s="136" t="str">
        <f>IF($A271&gt;MIN($A$10,$A$2),"",IF($A$5="","Choose stock",IF(NOT($A$12),"Check split rule",IF(NOT(ISNUMBER(B271)),"Invalid date",IF(OR(B271&lt;=0,B271&lt;&gt;INT(B271)),"Invalid date",IF(COUNTIFS(DemoHistory[Date],B271)&lt;&gt;1,"Duplicate date",IF(AND($A271&gt;1,B271&lt;=B270),"Dates out of order",IF(NOT(ISNUMBER(C271)),"Missing price",IF(C271&lt;=0,"Nonpositive price","OK")))))))))</f>
        <v/>
      </c>
      <c r="I271" s="136"/>
      <c r="J271" s="136"/>
      <c r="K271" s="136"/>
      <c r="L271" s="136"/>
      <c r="M271" s="136"/>
      <c r="N271" s="136" t="e">
        <f t="shared" si="10"/>
        <v>#N/A</v>
      </c>
      <c r="O271" s="136" t="e">
        <f t="shared" si="11"/>
        <v>#N/A</v>
      </c>
    </row>
    <row r="272" spans="1:15" ht="22.05" customHeight="1" x14ac:dyDescent="0.3">
      <c r="A272" s="136">
        <v>228</v>
      </c>
      <c r="B272" s="165" t="str">
        <f>IF($A272&gt;MIN($A$10,$A$2),"",INDEX(DemoHistory[Date],$A272))</f>
        <v/>
      </c>
      <c r="C272" s="166" t="str">
        <f>IF(OR($A272&gt;MIN($A$10,$A$2),$A$5=""),"",INDEX(DemoHistory[],$A272,MATCH($A$5,DemoHistory[#Headers],0)))</f>
        <v/>
      </c>
      <c r="D272" s="166" t="str">
        <f>IF($A272&gt;MIN($A$10,$A$2),"",IF(AND($A$12,$A$6=1,B272&lt;$A$7,$A$7&lt;=MAX(DemoHistory[Date])),$A$8,1))</f>
        <v/>
      </c>
      <c r="E272" s="166" t="str">
        <f t="shared" si="9"/>
        <v/>
      </c>
      <c r="F272" s="166" t="str">
        <f>IF($A272&gt;MIN($A$10,$A$2),"",IF($A272&lt;50,"n.a.",IF(COUNT(INDEX(StockDaily[Adjusted close],MAX(1,$A272-50+1)):E272)=50,AVERAGE(INDEX(StockDaily[Adjusted close],MAX(1,$A272-50+1)):E272),"n.a.")))</f>
        <v/>
      </c>
      <c r="G272" s="166" t="str">
        <f>IF($A272&gt;MIN($A$10,$A$2),"",IF($A272&lt;200,"n.a.",IF(COUNT(INDEX(StockDaily[Adjusted close],MAX(1,$A272-200+1)):E272)=200,AVERAGE(INDEX(StockDaily[Adjusted close],MAX(1,$A272-200+1)):E272),"n.a.")))</f>
        <v/>
      </c>
      <c r="H272" s="136" t="str">
        <f>IF($A272&gt;MIN($A$10,$A$2),"",IF($A$5="","Choose stock",IF(NOT($A$12),"Check split rule",IF(NOT(ISNUMBER(B272)),"Invalid date",IF(OR(B272&lt;=0,B272&lt;&gt;INT(B272)),"Invalid date",IF(COUNTIFS(DemoHistory[Date],B272)&lt;&gt;1,"Duplicate date",IF(AND($A272&gt;1,B272&lt;=B271),"Dates out of order",IF(NOT(ISNUMBER(C272)),"Missing price",IF(C272&lt;=0,"Nonpositive price","OK")))))))))</f>
        <v/>
      </c>
      <c r="I272" s="136"/>
      <c r="J272" s="136"/>
      <c r="K272" s="136"/>
      <c r="L272" s="136"/>
      <c r="M272" s="136"/>
      <c r="N272" s="136" t="e">
        <f t="shared" si="10"/>
        <v>#N/A</v>
      </c>
      <c r="O272" s="136" t="e">
        <f t="shared" si="11"/>
        <v>#N/A</v>
      </c>
    </row>
    <row r="273" spans="1:15" ht="22.05" customHeight="1" x14ac:dyDescent="0.3">
      <c r="A273" s="136">
        <v>229</v>
      </c>
      <c r="B273" s="165" t="str">
        <f>IF($A273&gt;MIN($A$10,$A$2),"",INDEX(DemoHistory[Date],$A273))</f>
        <v/>
      </c>
      <c r="C273" s="166" t="str">
        <f>IF(OR($A273&gt;MIN($A$10,$A$2),$A$5=""),"",INDEX(DemoHistory[],$A273,MATCH($A$5,DemoHistory[#Headers],0)))</f>
        <v/>
      </c>
      <c r="D273" s="166" t="str">
        <f>IF($A273&gt;MIN($A$10,$A$2),"",IF(AND($A$12,$A$6=1,B273&lt;$A$7,$A$7&lt;=MAX(DemoHistory[Date])),$A$8,1))</f>
        <v/>
      </c>
      <c r="E273" s="166" t="str">
        <f t="shared" si="9"/>
        <v/>
      </c>
      <c r="F273" s="166" t="str">
        <f>IF($A273&gt;MIN($A$10,$A$2),"",IF($A273&lt;50,"n.a.",IF(COUNT(INDEX(StockDaily[Adjusted close],MAX(1,$A273-50+1)):E273)=50,AVERAGE(INDEX(StockDaily[Adjusted close],MAX(1,$A273-50+1)):E273),"n.a.")))</f>
        <v/>
      </c>
      <c r="G273" s="166" t="str">
        <f>IF($A273&gt;MIN($A$10,$A$2),"",IF($A273&lt;200,"n.a.",IF(COUNT(INDEX(StockDaily[Adjusted close],MAX(1,$A273-200+1)):E273)=200,AVERAGE(INDEX(StockDaily[Adjusted close],MAX(1,$A273-200+1)):E273),"n.a.")))</f>
        <v/>
      </c>
      <c r="H273" s="136" t="str">
        <f>IF($A273&gt;MIN($A$10,$A$2),"",IF($A$5="","Choose stock",IF(NOT($A$12),"Check split rule",IF(NOT(ISNUMBER(B273)),"Invalid date",IF(OR(B273&lt;=0,B273&lt;&gt;INT(B273)),"Invalid date",IF(COUNTIFS(DemoHistory[Date],B273)&lt;&gt;1,"Duplicate date",IF(AND($A273&gt;1,B273&lt;=B272),"Dates out of order",IF(NOT(ISNUMBER(C273)),"Missing price",IF(C273&lt;=0,"Nonpositive price","OK")))))))))</f>
        <v/>
      </c>
      <c r="I273" s="136"/>
      <c r="J273" s="136"/>
      <c r="K273" s="136"/>
      <c r="L273" s="136"/>
      <c r="M273" s="136"/>
      <c r="N273" s="136" t="e">
        <f t="shared" si="10"/>
        <v>#N/A</v>
      </c>
      <c r="O273" s="136" t="e">
        <f t="shared" si="11"/>
        <v>#N/A</v>
      </c>
    </row>
    <row r="274" spans="1:15" ht="22.05" customHeight="1" x14ac:dyDescent="0.3">
      <c r="A274" s="136">
        <v>230</v>
      </c>
      <c r="B274" s="165" t="str">
        <f>IF($A274&gt;MIN($A$10,$A$2),"",INDEX(DemoHistory[Date],$A274))</f>
        <v/>
      </c>
      <c r="C274" s="166" t="str">
        <f>IF(OR($A274&gt;MIN($A$10,$A$2),$A$5=""),"",INDEX(DemoHistory[],$A274,MATCH($A$5,DemoHistory[#Headers],0)))</f>
        <v/>
      </c>
      <c r="D274" s="166" t="str">
        <f>IF($A274&gt;MIN($A$10,$A$2),"",IF(AND($A$12,$A$6=1,B274&lt;$A$7,$A$7&lt;=MAX(DemoHistory[Date])),$A$8,1))</f>
        <v/>
      </c>
      <c r="E274" s="166" t="str">
        <f t="shared" si="9"/>
        <v/>
      </c>
      <c r="F274" s="166" t="str">
        <f>IF($A274&gt;MIN($A$10,$A$2),"",IF($A274&lt;50,"n.a.",IF(COUNT(INDEX(StockDaily[Adjusted close],MAX(1,$A274-50+1)):E274)=50,AVERAGE(INDEX(StockDaily[Adjusted close],MAX(1,$A274-50+1)):E274),"n.a.")))</f>
        <v/>
      </c>
      <c r="G274" s="166" t="str">
        <f>IF($A274&gt;MIN($A$10,$A$2),"",IF($A274&lt;200,"n.a.",IF(COUNT(INDEX(StockDaily[Adjusted close],MAX(1,$A274-200+1)):E274)=200,AVERAGE(INDEX(StockDaily[Adjusted close],MAX(1,$A274-200+1)):E274),"n.a.")))</f>
        <v/>
      </c>
      <c r="H274" s="136" t="str">
        <f>IF($A274&gt;MIN($A$10,$A$2),"",IF($A$5="","Choose stock",IF(NOT($A$12),"Check split rule",IF(NOT(ISNUMBER(B274)),"Invalid date",IF(OR(B274&lt;=0,B274&lt;&gt;INT(B274)),"Invalid date",IF(COUNTIFS(DemoHistory[Date],B274)&lt;&gt;1,"Duplicate date",IF(AND($A274&gt;1,B274&lt;=B273),"Dates out of order",IF(NOT(ISNUMBER(C274)),"Missing price",IF(C274&lt;=0,"Nonpositive price","OK")))))))))</f>
        <v/>
      </c>
      <c r="I274" s="136"/>
      <c r="J274" s="136"/>
      <c r="K274" s="136"/>
      <c r="L274" s="136"/>
      <c r="M274" s="136"/>
      <c r="N274" s="136" t="e">
        <f t="shared" si="10"/>
        <v>#N/A</v>
      </c>
      <c r="O274" s="136" t="e">
        <f t="shared" si="11"/>
        <v>#N/A</v>
      </c>
    </row>
    <row r="275" spans="1:15" ht="22.05" customHeight="1" x14ac:dyDescent="0.3">
      <c r="A275" s="136">
        <v>231</v>
      </c>
      <c r="B275" s="165" t="str">
        <f>IF($A275&gt;MIN($A$10,$A$2),"",INDEX(DemoHistory[Date],$A275))</f>
        <v/>
      </c>
      <c r="C275" s="166" t="str">
        <f>IF(OR($A275&gt;MIN($A$10,$A$2),$A$5=""),"",INDEX(DemoHistory[],$A275,MATCH($A$5,DemoHistory[#Headers],0)))</f>
        <v/>
      </c>
      <c r="D275" s="166" t="str">
        <f>IF($A275&gt;MIN($A$10,$A$2),"",IF(AND($A$12,$A$6=1,B275&lt;$A$7,$A$7&lt;=MAX(DemoHistory[Date])),$A$8,1))</f>
        <v/>
      </c>
      <c r="E275" s="166" t="str">
        <f t="shared" si="9"/>
        <v/>
      </c>
      <c r="F275" s="166" t="str">
        <f>IF($A275&gt;MIN($A$10,$A$2),"",IF($A275&lt;50,"n.a.",IF(COUNT(INDEX(StockDaily[Adjusted close],MAX(1,$A275-50+1)):E275)=50,AVERAGE(INDEX(StockDaily[Adjusted close],MAX(1,$A275-50+1)):E275),"n.a.")))</f>
        <v/>
      </c>
      <c r="G275" s="166" t="str">
        <f>IF($A275&gt;MIN($A$10,$A$2),"",IF($A275&lt;200,"n.a.",IF(COUNT(INDEX(StockDaily[Adjusted close],MAX(1,$A275-200+1)):E275)=200,AVERAGE(INDEX(StockDaily[Adjusted close],MAX(1,$A275-200+1)):E275),"n.a.")))</f>
        <v/>
      </c>
      <c r="H275" s="136" t="str">
        <f>IF($A275&gt;MIN($A$10,$A$2),"",IF($A$5="","Choose stock",IF(NOT($A$12),"Check split rule",IF(NOT(ISNUMBER(B275)),"Invalid date",IF(OR(B275&lt;=0,B275&lt;&gt;INT(B275)),"Invalid date",IF(COUNTIFS(DemoHistory[Date],B275)&lt;&gt;1,"Duplicate date",IF(AND($A275&gt;1,B275&lt;=B274),"Dates out of order",IF(NOT(ISNUMBER(C275)),"Missing price",IF(C275&lt;=0,"Nonpositive price","OK")))))))))</f>
        <v/>
      </c>
      <c r="I275" s="136"/>
      <c r="J275" s="136"/>
      <c r="K275" s="136"/>
      <c r="L275" s="136"/>
      <c r="M275" s="136"/>
      <c r="N275" s="136" t="e">
        <f t="shared" si="10"/>
        <v>#N/A</v>
      </c>
      <c r="O275" s="136" t="e">
        <f t="shared" si="11"/>
        <v>#N/A</v>
      </c>
    </row>
    <row r="276" spans="1:15" ht="22.05" customHeight="1" x14ac:dyDescent="0.3">
      <c r="A276" s="136">
        <v>232</v>
      </c>
      <c r="B276" s="165" t="str">
        <f>IF($A276&gt;MIN($A$10,$A$2),"",INDEX(DemoHistory[Date],$A276))</f>
        <v/>
      </c>
      <c r="C276" s="166" t="str">
        <f>IF(OR($A276&gt;MIN($A$10,$A$2),$A$5=""),"",INDEX(DemoHistory[],$A276,MATCH($A$5,DemoHistory[#Headers],0)))</f>
        <v/>
      </c>
      <c r="D276" s="166" t="str">
        <f>IF($A276&gt;MIN($A$10,$A$2),"",IF(AND($A$12,$A$6=1,B276&lt;$A$7,$A$7&lt;=MAX(DemoHistory[Date])),$A$8,1))</f>
        <v/>
      </c>
      <c r="E276" s="166" t="str">
        <f t="shared" si="9"/>
        <v/>
      </c>
      <c r="F276" s="166" t="str">
        <f>IF($A276&gt;MIN($A$10,$A$2),"",IF($A276&lt;50,"n.a.",IF(COUNT(INDEX(StockDaily[Adjusted close],MAX(1,$A276-50+1)):E276)=50,AVERAGE(INDEX(StockDaily[Adjusted close],MAX(1,$A276-50+1)):E276),"n.a.")))</f>
        <v/>
      </c>
      <c r="G276" s="166" t="str">
        <f>IF($A276&gt;MIN($A$10,$A$2),"",IF($A276&lt;200,"n.a.",IF(COUNT(INDEX(StockDaily[Adjusted close],MAX(1,$A276-200+1)):E276)=200,AVERAGE(INDEX(StockDaily[Adjusted close],MAX(1,$A276-200+1)):E276),"n.a.")))</f>
        <v/>
      </c>
      <c r="H276" s="136" t="str">
        <f>IF($A276&gt;MIN($A$10,$A$2),"",IF($A$5="","Choose stock",IF(NOT($A$12),"Check split rule",IF(NOT(ISNUMBER(B276)),"Invalid date",IF(OR(B276&lt;=0,B276&lt;&gt;INT(B276)),"Invalid date",IF(COUNTIFS(DemoHistory[Date],B276)&lt;&gt;1,"Duplicate date",IF(AND($A276&gt;1,B276&lt;=B275),"Dates out of order",IF(NOT(ISNUMBER(C276)),"Missing price",IF(C276&lt;=0,"Nonpositive price","OK")))))))))</f>
        <v/>
      </c>
      <c r="I276" s="136"/>
      <c r="J276" s="136"/>
      <c r="K276" s="136"/>
      <c r="L276" s="136"/>
      <c r="M276" s="136"/>
      <c r="N276" s="136" t="e">
        <f t="shared" si="10"/>
        <v>#N/A</v>
      </c>
      <c r="O276" s="136" t="e">
        <f t="shared" si="11"/>
        <v>#N/A</v>
      </c>
    </row>
    <row r="277" spans="1:15" ht="22.05" customHeight="1" x14ac:dyDescent="0.3">
      <c r="A277" s="136">
        <v>233</v>
      </c>
      <c r="B277" s="165" t="str">
        <f>IF($A277&gt;MIN($A$10,$A$2),"",INDEX(DemoHistory[Date],$A277))</f>
        <v/>
      </c>
      <c r="C277" s="166" t="str">
        <f>IF(OR($A277&gt;MIN($A$10,$A$2),$A$5=""),"",INDEX(DemoHistory[],$A277,MATCH($A$5,DemoHistory[#Headers],0)))</f>
        <v/>
      </c>
      <c r="D277" s="166" t="str">
        <f>IF($A277&gt;MIN($A$10,$A$2),"",IF(AND($A$12,$A$6=1,B277&lt;$A$7,$A$7&lt;=MAX(DemoHistory[Date])),$A$8,1))</f>
        <v/>
      </c>
      <c r="E277" s="166" t="str">
        <f t="shared" si="9"/>
        <v/>
      </c>
      <c r="F277" s="166" t="str">
        <f>IF($A277&gt;MIN($A$10,$A$2),"",IF($A277&lt;50,"n.a.",IF(COUNT(INDEX(StockDaily[Adjusted close],MAX(1,$A277-50+1)):E277)=50,AVERAGE(INDEX(StockDaily[Adjusted close],MAX(1,$A277-50+1)):E277),"n.a.")))</f>
        <v/>
      </c>
      <c r="G277" s="166" t="str">
        <f>IF($A277&gt;MIN($A$10,$A$2),"",IF($A277&lt;200,"n.a.",IF(COUNT(INDEX(StockDaily[Adjusted close],MAX(1,$A277-200+1)):E277)=200,AVERAGE(INDEX(StockDaily[Adjusted close],MAX(1,$A277-200+1)):E277),"n.a.")))</f>
        <v/>
      </c>
      <c r="H277" s="136" t="str">
        <f>IF($A277&gt;MIN($A$10,$A$2),"",IF($A$5="","Choose stock",IF(NOT($A$12),"Check split rule",IF(NOT(ISNUMBER(B277)),"Invalid date",IF(OR(B277&lt;=0,B277&lt;&gt;INT(B277)),"Invalid date",IF(COUNTIFS(DemoHistory[Date],B277)&lt;&gt;1,"Duplicate date",IF(AND($A277&gt;1,B277&lt;=B276),"Dates out of order",IF(NOT(ISNUMBER(C277)),"Missing price",IF(C277&lt;=0,"Nonpositive price","OK")))))))))</f>
        <v/>
      </c>
      <c r="I277" s="136"/>
      <c r="J277" s="136"/>
      <c r="K277" s="136"/>
      <c r="L277" s="136"/>
      <c r="M277" s="136"/>
      <c r="N277" s="136" t="e">
        <f t="shared" si="10"/>
        <v>#N/A</v>
      </c>
      <c r="O277" s="136" t="e">
        <f t="shared" si="11"/>
        <v>#N/A</v>
      </c>
    </row>
    <row r="278" spans="1:15" ht="22.05" customHeight="1" x14ac:dyDescent="0.3">
      <c r="A278" s="136">
        <v>234</v>
      </c>
      <c r="B278" s="165" t="str">
        <f>IF($A278&gt;MIN($A$10,$A$2),"",INDEX(DemoHistory[Date],$A278))</f>
        <v/>
      </c>
      <c r="C278" s="166" t="str">
        <f>IF(OR($A278&gt;MIN($A$10,$A$2),$A$5=""),"",INDEX(DemoHistory[],$A278,MATCH($A$5,DemoHistory[#Headers],0)))</f>
        <v/>
      </c>
      <c r="D278" s="166" t="str">
        <f>IF($A278&gt;MIN($A$10,$A$2),"",IF(AND($A$12,$A$6=1,B278&lt;$A$7,$A$7&lt;=MAX(DemoHistory[Date])),$A$8,1))</f>
        <v/>
      </c>
      <c r="E278" s="166" t="str">
        <f t="shared" si="9"/>
        <v/>
      </c>
      <c r="F278" s="166" t="str">
        <f>IF($A278&gt;MIN($A$10,$A$2),"",IF($A278&lt;50,"n.a.",IF(COUNT(INDEX(StockDaily[Adjusted close],MAX(1,$A278-50+1)):E278)=50,AVERAGE(INDEX(StockDaily[Adjusted close],MAX(1,$A278-50+1)):E278),"n.a.")))</f>
        <v/>
      </c>
      <c r="G278" s="166" t="str">
        <f>IF($A278&gt;MIN($A$10,$A$2),"",IF($A278&lt;200,"n.a.",IF(COUNT(INDEX(StockDaily[Adjusted close],MAX(1,$A278-200+1)):E278)=200,AVERAGE(INDEX(StockDaily[Adjusted close],MAX(1,$A278-200+1)):E278),"n.a.")))</f>
        <v/>
      </c>
      <c r="H278" s="136" t="str">
        <f>IF($A278&gt;MIN($A$10,$A$2),"",IF($A$5="","Choose stock",IF(NOT($A$12),"Check split rule",IF(NOT(ISNUMBER(B278)),"Invalid date",IF(OR(B278&lt;=0,B278&lt;&gt;INT(B278)),"Invalid date",IF(COUNTIFS(DemoHistory[Date],B278)&lt;&gt;1,"Duplicate date",IF(AND($A278&gt;1,B278&lt;=B277),"Dates out of order",IF(NOT(ISNUMBER(C278)),"Missing price",IF(C278&lt;=0,"Nonpositive price","OK")))))))))</f>
        <v/>
      </c>
      <c r="I278" s="136"/>
      <c r="J278" s="136"/>
      <c r="K278" s="136"/>
      <c r="L278" s="136"/>
      <c r="M278" s="136"/>
      <c r="N278" s="136" t="e">
        <f t="shared" si="10"/>
        <v>#N/A</v>
      </c>
      <c r="O278" s="136" t="e">
        <f t="shared" si="11"/>
        <v>#N/A</v>
      </c>
    </row>
    <row r="279" spans="1:15" ht="22.05" customHeight="1" x14ac:dyDescent="0.3">
      <c r="A279" s="136">
        <v>235</v>
      </c>
      <c r="B279" s="165" t="str">
        <f>IF($A279&gt;MIN($A$10,$A$2),"",INDEX(DemoHistory[Date],$A279))</f>
        <v/>
      </c>
      <c r="C279" s="166" t="str">
        <f>IF(OR($A279&gt;MIN($A$10,$A$2),$A$5=""),"",INDEX(DemoHistory[],$A279,MATCH($A$5,DemoHistory[#Headers],0)))</f>
        <v/>
      </c>
      <c r="D279" s="166" t="str">
        <f>IF($A279&gt;MIN($A$10,$A$2),"",IF(AND($A$12,$A$6=1,B279&lt;$A$7,$A$7&lt;=MAX(DemoHistory[Date])),$A$8,1))</f>
        <v/>
      </c>
      <c r="E279" s="166" t="str">
        <f t="shared" si="9"/>
        <v/>
      </c>
      <c r="F279" s="166" t="str">
        <f>IF($A279&gt;MIN($A$10,$A$2),"",IF($A279&lt;50,"n.a.",IF(COUNT(INDEX(StockDaily[Adjusted close],MAX(1,$A279-50+1)):E279)=50,AVERAGE(INDEX(StockDaily[Adjusted close],MAX(1,$A279-50+1)):E279),"n.a.")))</f>
        <v/>
      </c>
      <c r="G279" s="166" t="str">
        <f>IF($A279&gt;MIN($A$10,$A$2),"",IF($A279&lt;200,"n.a.",IF(COUNT(INDEX(StockDaily[Adjusted close],MAX(1,$A279-200+1)):E279)=200,AVERAGE(INDEX(StockDaily[Adjusted close],MAX(1,$A279-200+1)):E279),"n.a.")))</f>
        <v/>
      </c>
      <c r="H279" s="136" t="str">
        <f>IF($A279&gt;MIN($A$10,$A$2),"",IF($A$5="","Choose stock",IF(NOT($A$12),"Check split rule",IF(NOT(ISNUMBER(B279)),"Invalid date",IF(OR(B279&lt;=0,B279&lt;&gt;INT(B279)),"Invalid date",IF(COUNTIFS(DemoHistory[Date],B279)&lt;&gt;1,"Duplicate date",IF(AND($A279&gt;1,B279&lt;=B278),"Dates out of order",IF(NOT(ISNUMBER(C279)),"Missing price",IF(C279&lt;=0,"Nonpositive price","OK")))))))))</f>
        <v/>
      </c>
      <c r="I279" s="136"/>
      <c r="J279" s="136"/>
      <c r="K279" s="136"/>
      <c r="L279" s="136"/>
      <c r="M279" s="136"/>
      <c r="N279" s="136" t="e">
        <f t="shared" si="10"/>
        <v>#N/A</v>
      </c>
      <c r="O279" s="136" t="e">
        <f t="shared" si="11"/>
        <v>#N/A</v>
      </c>
    </row>
    <row r="280" spans="1:15" ht="22.05" customHeight="1" x14ac:dyDescent="0.3">
      <c r="A280" s="136">
        <v>236</v>
      </c>
      <c r="B280" s="165" t="str">
        <f>IF($A280&gt;MIN($A$10,$A$2),"",INDEX(DemoHistory[Date],$A280))</f>
        <v/>
      </c>
      <c r="C280" s="166" t="str">
        <f>IF(OR($A280&gt;MIN($A$10,$A$2),$A$5=""),"",INDEX(DemoHistory[],$A280,MATCH($A$5,DemoHistory[#Headers],0)))</f>
        <v/>
      </c>
      <c r="D280" s="166" t="str">
        <f>IF($A280&gt;MIN($A$10,$A$2),"",IF(AND($A$12,$A$6=1,B280&lt;$A$7,$A$7&lt;=MAX(DemoHistory[Date])),$A$8,1))</f>
        <v/>
      </c>
      <c r="E280" s="166" t="str">
        <f t="shared" si="9"/>
        <v/>
      </c>
      <c r="F280" s="166" t="str">
        <f>IF($A280&gt;MIN($A$10,$A$2),"",IF($A280&lt;50,"n.a.",IF(COUNT(INDEX(StockDaily[Adjusted close],MAX(1,$A280-50+1)):E280)=50,AVERAGE(INDEX(StockDaily[Adjusted close],MAX(1,$A280-50+1)):E280),"n.a.")))</f>
        <v/>
      </c>
      <c r="G280" s="166" t="str">
        <f>IF($A280&gt;MIN($A$10,$A$2),"",IF($A280&lt;200,"n.a.",IF(COUNT(INDEX(StockDaily[Adjusted close],MAX(1,$A280-200+1)):E280)=200,AVERAGE(INDEX(StockDaily[Adjusted close],MAX(1,$A280-200+1)):E280),"n.a.")))</f>
        <v/>
      </c>
      <c r="H280" s="136" t="str">
        <f>IF($A280&gt;MIN($A$10,$A$2),"",IF($A$5="","Choose stock",IF(NOT($A$12),"Check split rule",IF(NOT(ISNUMBER(B280)),"Invalid date",IF(OR(B280&lt;=0,B280&lt;&gt;INT(B280)),"Invalid date",IF(COUNTIFS(DemoHistory[Date],B280)&lt;&gt;1,"Duplicate date",IF(AND($A280&gt;1,B280&lt;=B279),"Dates out of order",IF(NOT(ISNUMBER(C280)),"Missing price",IF(C280&lt;=0,"Nonpositive price","OK")))))))))</f>
        <v/>
      </c>
      <c r="I280" s="136"/>
      <c r="J280" s="136"/>
      <c r="K280" s="136"/>
      <c r="L280" s="136"/>
      <c r="M280" s="136"/>
      <c r="N280" s="136" t="e">
        <f t="shared" si="10"/>
        <v>#N/A</v>
      </c>
      <c r="O280" s="136" t="e">
        <f t="shared" si="11"/>
        <v>#N/A</v>
      </c>
    </row>
    <row r="281" spans="1:15" ht="22.05" customHeight="1" x14ac:dyDescent="0.3">
      <c r="A281" s="136">
        <v>237</v>
      </c>
      <c r="B281" s="165" t="str">
        <f>IF($A281&gt;MIN($A$10,$A$2),"",INDEX(DemoHistory[Date],$A281))</f>
        <v/>
      </c>
      <c r="C281" s="166" t="str">
        <f>IF(OR($A281&gt;MIN($A$10,$A$2),$A$5=""),"",INDEX(DemoHistory[],$A281,MATCH($A$5,DemoHistory[#Headers],0)))</f>
        <v/>
      </c>
      <c r="D281" s="166" t="str">
        <f>IF($A281&gt;MIN($A$10,$A$2),"",IF(AND($A$12,$A$6=1,B281&lt;$A$7,$A$7&lt;=MAX(DemoHistory[Date])),$A$8,1))</f>
        <v/>
      </c>
      <c r="E281" s="166" t="str">
        <f t="shared" si="9"/>
        <v/>
      </c>
      <c r="F281" s="166" t="str">
        <f>IF($A281&gt;MIN($A$10,$A$2),"",IF($A281&lt;50,"n.a.",IF(COUNT(INDEX(StockDaily[Adjusted close],MAX(1,$A281-50+1)):E281)=50,AVERAGE(INDEX(StockDaily[Adjusted close],MAX(1,$A281-50+1)):E281),"n.a.")))</f>
        <v/>
      </c>
      <c r="G281" s="166" t="str">
        <f>IF($A281&gt;MIN($A$10,$A$2),"",IF($A281&lt;200,"n.a.",IF(COUNT(INDEX(StockDaily[Adjusted close],MAX(1,$A281-200+1)):E281)=200,AVERAGE(INDEX(StockDaily[Adjusted close],MAX(1,$A281-200+1)):E281),"n.a.")))</f>
        <v/>
      </c>
      <c r="H281" s="136" t="str">
        <f>IF($A281&gt;MIN($A$10,$A$2),"",IF($A$5="","Choose stock",IF(NOT($A$12),"Check split rule",IF(NOT(ISNUMBER(B281)),"Invalid date",IF(OR(B281&lt;=0,B281&lt;&gt;INT(B281)),"Invalid date",IF(COUNTIFS(DemoHistory[Date],B281)&lt;&gt;1,"Duplicate date",IF(AND($A281&gt;1,B281&lt;=B280),"Dates out of order",IF(NOT(ISNUMBER(C281)),"Missing price",IF(C281&lt;=0,"Nonpositive price","OK")))))))))</f>
        <v/>
      </c>
      <c r="I281" s="136"/>
      <c r="J281" s="136"/>
      <c r="K281" s="136"/>
      <c r="L281" s="136"/>
      <c r="M281" s="136"/>
      <c r="N281" s="136" t="e">
        <f t="shared" si="10"/>
        <v>#N/A</v>
      </c>
      <c r="O281" s="136" t="e">
        <f t="shared" si="11"/>
        <v>#N/A</v>
      </c>
    </row>
    <row r="282" spans="1:15" ht="22.05" customHeight="1" x14ac:dyDescent="0.3">
      <c r="A282" s="136">
        <v>238</v>
      </c>
      <c r="B282" s="165" t="str">
        <f>IF($A282&gt;MIN($A$10,$A$2),"",INDEX(DemoHistory[Date],$A282))</f>
        <v/>
      </c>
      <c r="C282" s="166" t="str">
        <f>IF(OR($A282&gt;MIN($A$10,$A$2),$A$5=""),"",INDEX(DemoHistory[],$A282,MATCH($A$5,DemoHistory[#Headers],0)))</f>
        <v/>
      </c>
      <c r="D282" s="166" t="str">
        <f>IF($A282&gt;MIN($A$10,$A$2),"",IF(AND($A$12,$A$6=1,B282&lt;$A$7,$A$7&lt;=MAX(DemoHistory[Date])),$A$8,1))</f>
        <v/>
      </c>
      <c r="E282" s="166" t="str">
        <f t="shared" si="9"/>
        <v/>
      </c>
      <c r="F282" s="166" t="str">
        <f>IF($A282&gt;MIN($A$10,$A$2),"",IF($A282&lt;50,"n.a.",IF(COUNT(INDEX(StockDaily[Adjusted close],MAX(1,$A282-50+1)):E282)=50,AVERAGE(INDEX(StockDaily[Adjusted close],MAX(1,$A282-50+1)):E282),"n.a.")))</f>
        <v/>
      </c>
      <c r="G282" s="166" t="str">
        <f>IF($A282&gt;MIN($A$10,$A$2),"",IF($A282&lt;200,"n.a.",IF(COUNT(INDEX(StockDaily[Adjusted close],MAX(1,$A282-200+1)):E282)=200,AVERAGE(INDEX(StockDaily[Adjusted close],MAX(1,$A282-200+1)):E282),"n.a.")))</f>
        <v/>
      </c>
      <c r="H282" s="136" t="str">
        <f>IF($A282&gt;MIN($A$10,$A$2),"",IF($A$5="","Choose stock",IF(NOT($A$12),"Check split rule",IF(NOT(ISNUMBER(B282)),"Invalid date",IF(OR(B282&lt;=0,B282&lt;&gt;INT(B282)),"Invalid date",IF(COUNTIFS(DemoHistory[Date],B282)&lt;&gt;1,"Duplicate date",IF(AND($A282&gt;1,B282&lt;=B281),"Dates out of order",IF(NOT(ISNUMBER(C282)),"Missing price",IF(C282&lt;=0,"Nonpositive price","OK")))))))))</f>
        <v/>
      </c>
      <c r="I282" s="136"/>
      <c r="J282" s="136"/>
      <c r="K282" s="136"/>
      <c r="L282" s="136"/>
      <c r="M282" s="136"/>
      <c r="N282" s="136" t="e">
        <f t="shared" si="10"/>
        <v>#N/A</v>
      </c>
      <c r="O282" s="136" t="e">
        <f t="shared" si="11"/>
        <v>#N/A</v>
      </c>
    </row>
    <row r="283" spans="1:15" ht="22.05" customHeight="1" x14ac:dyDescent="0.3">
      <c r="A283" s="136">
        <v>239</v>
      </c>
      <c r="B283" s="165" t="str">
        <f>IF($A283&gt;MIN($A$10,$A$2),"",INDEX(DemoHistory[Date],$A283))</f>
        <v/>
      </c>
      <c r="C283" s="166" t="str">
        <f>IF(OR($A283&gt;MIN($A$10,$A$2),$A$5=""),"",INDEX(DemoHistory[],$A283,MATCH($A$5,DemoHistory[#Headers],0)))</f>
        <v/>
      </c>
      <c r="D283" s="166" t="str">
        <f>IF($A283&gt;MIN($A$10,$A$2),"",IF(AND($A$12,$A$6=1,B283&lt;$A$7,$A$7&lt;=MAX(DemoHistory[Date])),$A$8,1))</f>
        <v/>
      </c>
      <c r="E283" s="166" t="str">
        <f t="shared" si="9"/>
        <v/>
      </c>
      <c r="F283" s="166" t="str">
        <f>IF($A283&gt;MIN($A$10,$A$2),"",IF($A283&lt;50,"n.a.",IF(COUNT(INDEX(StockDaily[Adjusted close],MAX(1,$A283-50+1)):E283)=50,AVERAGE(INDEX(StockDaily[Adjusted close],MAX(1,$A283-50+1)):E283),"n.a.")))</f>
        <v/>
      </c>
      <c r="G283" s="166" t="str">
        <f>IF($A283&gt;MIN($A$10,$A$2),"",IF($A283&lt;200,"n.a.",IF(COUNT(INDEX(StockDaily[Adjusted close],MAX(1,$A283-200+1)):E283)=200,AVERAGE(INDEX(StockDaily[Adjusted close],MAX(1,$A283-200+1)):E283),"n.a.")))</f>
        <v/>
      </c>
      <c r="H283" s="136" t="str">
        <f>IF($A283&gt;MIN($A$10,$A$2),"",IF($A$5="","Choose stock",IF(NOT($A$12),"Check split rule",IF(NOT(ISNUMBER(B283)),"Invalid date",IF(OR(B283&lt;=0,B283&lt;&gt;INT(B283)),"Invalid date",IF(COUNTIFS(DemoHistory[Date],B283)&lt;&gt;1,"Duplicate date",IF(AND($A283&gt;1,B283&lt;=B282),"Dates out of order",IF(NOT(ISNUMBER(C283)),"Missing price",IF(C283&lt;=0,"Nonpositive price","OK")))))))))</f>
        <v/>
      </c>
      <c r="I283" s="136"/>
      <c r="J283" s="136"/>
      <c r="K283" s="136"/>
      <c r="L283" s="136"/>
      <c r="M283" s="136"/>
      <c r="N283" s="136" t="e">
        <f t="shared" si="10"/>
        <v>#N/A</v>
      </c>
      <c r="O283" s="136" t="e">
        <f t="shared" si="11"/>
        <v>#N/A</v>
      </c>
    </row>
    <row r="284" spans="1:15" ht="22.05" customHeight="1" x14ac:dyDescent="0.3">
      <c r="A284" s="136">
        <v>240</v>
      </c>
      <c r="B284" s="165" t="str">
        <f>IF($A284&gt;MIN($A$10,$A$2),"",INDEX(DemoHistory[Date],$A284))</f>
        <v/>
      </c>
      <c r="C284" s="166" t="str">
        <f>IF(OR($A284&gt;MIN($A$10,$A$2),$A$5=""),"",INDEX(DemoHistory[],$A284,MATCH($A$5,DemoHistory[#Headers],0)))</f>
        <v/>
      </c>
      <c r="D284" s="166" t="str">
        <f>IF($A284&gt;MIN($A$10,$A$2),"",IF(AND($A$12,$A$6=1,B284&lt;$A$7,$A$7&lt;=MAX(DemoHistory[Date])),$A$8,1))</f>
        <v/>
      </c>
      <c r="E284" s="166" t="str">
        <f t="shared" si="9"/>
        <v/>
      </c>
      <c r="F284" s="166" t="str">
        <f>IF($A284&gt;MIN($A$10,$A$2),"",IF($A284&lt;50,"n.a.",IF(COUNT(INDEX(StockDaily[Adjusted close],MAX(1,$A284-50+1)):E284)=50,AVERAGE(INDEX(StockDaily[Adjusted close],MAX(1,$A284-50+1)):E284),"n.a.")))</f>
        <v/>
      </c>
      <c r="G284" s="166" t="str">
        <f>IF($A284&gt;MIN($A$10,$A$2),"",IF($A284&lt;200,"n.a.",IF(COUNT(INDEX(StockDaily[Adjusted close],MAX(1,$A284-200+1)):E284)=200,AVERAGE(INDEX(StockDaily[Adjusted close],MAX(1,$A284-200+1)):E284),"n.a.")))</f>
        <v/>
      </c>
      <c r="H284" s="136" t="str">
        <f>IF($A284&gt;MIN($A$10,$A$2),"",IF($A$5="","Choose stock",IF(NOT($A$12),"Check split rule",IF(NOT(ISNUMBER(B284)),"Invalid date",IF(OR(B284&lt;=0,B284&lt;&gt;INT(B284)),"Invalid date",IF(COUNTIFS(DemoHistory[Date],B284)&lt;&gt;1,"Duplicate date",IF(AND($A284&gt;1,B284&lt;=B283),"Dates out of order",IF(NOT(ISNUMBER(C284)),"Missing price",IF(C284&lt;=0,"Nonpositive price","OK")))))))))</f>
        <v/>
      </c>
      <c r="I284" s="136"/>
      <c r="J284" s="136"/>
      <c r="K284" s="136"/>
      <c r="L284" s="136"/>
      <c r="M284" s="136"/>
      <c r="N284" s="136" t="e">
        <f t="shared" si="10"/>
        <v>#N/A</v>
      </c>
      <c r="O284" s="136" t="e">
        <f t="shared" si="11"/>
        <v>#N/A</v>
      </c>
    </row>
    <row r="285" spans="1:15" ht="22.05" customHeight="1" x14ac:dyDescent="0.3">
      <c r="A285" s="136">
        <v>241</v>
      </c>
      <c r="B285" s="165" t="str">
        <f>IF($A285&gt;MIN($A$10,$A$2),"",INDEX(DemoHistory[Date],$A285))</f>
        <v/>
      </c>
      <c r="C285" s="166" t="str">
        <f>IF(OR($A285&gt;MIN($A$10,$A$2),$A$5=""),"",INDEX(DemoHistory[],$A285,MATCH($A$5,DemoHistory[#Headers],0)))</f>
        <v/>
      </c>
      <c r="D285" s="166" t="str">
        <f>IF($A285&gt;MIN($A$10,$A$2),"",IF(AND($A$12,$A$6=1,B285&lt;$A$7,$A$7&lt;=MAX(DemoHistory[Date])),$A$8,1))</f>
        <v/>
      </c>
      <c r="E285" s="166" t="str">
        <f t="shared" si="9"/>
        <v/>
      </c>
      <c r="F285" s="166" t="str">
        <f>IF($A285&gt;MIN($A$10,$A$2),"",IF($A285&lt;50,"n.a.",IF(COUNT(INDEX(StockDaily[Adjusted close],MAX(1,$A285-50+1)):E285)=50,AVERAGE(INDEX(StockDaily[Adjusted close],MAX(1,$A285-50+1)):E285),"n.a.")))</f>
        <v/>
      </c>
      <c r="G285" s="166" t="str">
        <f>IF($A285&gt;MIN($A$10,$A$2),"",IF($A285&lt;200,"n.a.",IF(COUNT(INDEX(StockDaily[Adjusted close],MAX(1,$A285-200+1)):E285)=200,AVERAGE(INDEX(StockDaily[Adjusted close],MAX(1,$A285-200+1)):E285),"n.a.")))</f>
        <v/>
      </c>
      <c r="H285" s="136" t="str">
        <f>IF($A285&gt;MIN($A$10,$A$2),"",IF($A$5="","Choose stock",IF(NOT($A$12),"Check split rule",IF(NOT(ISNUMBER(B285)),"Invalid date",IF(OR(B285&lt;=0,B285&lt;&gt;INT(B285)),"Invalid date",IF(COUNTIFS(DemoHistory[Date],B285)&lt;&gt;1,"Duplicate date",IF(AND($A285&gt;1,B285&lt;=B284),"Dates out of order",IF(NOT(ISNUMBER(C285)),"Missing price",IF(C285&lt;=0,"Nonpositive price","OK")))))))))</f>
        <v/>
      </c>
      <c r="I285" s="136"/>
      <c r="J285" s="136"/>
      <c r="K285" s="136"/>
      <c r="L285" s="136"/>
      <c r="M285" s="136"/>
      <c r="N285" s="136" t="e">
        <f t="shared" si="10"/>
        <v>#N/A</v>
      </c>
      <c r="O285" s="136" t="e">
        <f t="shared" si="11"/>
        <v>#N/A</v>
      </c>
    </row>
    <row r="286" spans="1:15" ht="22.05" customHeight="1" x14ac:dyDescent="0.3">
      <c r="A286" s="136">
        <v>242</v>
      </c>
      <c r="B286" s="165" t="str">
        <f>IF($A286&gt;MIN($A$10,$A$2),"",INDEX(DemoHistory[Date],$A286))</f>
        <v/>
      </c>
      <c r="C286" s="166" t="str">
        <f>IF(OR($A286&gt;MIN($A$10,$A$2),$A$5=""),"",INDEX(DemoHistory[],$A286,MATCH($A$5,DemoHistory[#Headers],0)))</f>
        <v/>
      </c>
      <c r="D286" s="166" t="str">
        <f>IF($A286&gt;MIN($A$10,$A$2),"",IF(AND($A$12,$A$6=1,B286&lt;$A$7,$A$7&lt;=MAX(DemoHistory[Date])),$A$8,1))</f>
        <v/>
      </c>
      <c r="E286" s="166" t="str">
        <f t="shared" si="9"/>
        <v/>
      </c>
      <c r="F286" s="166" t="str">
        <f>IF($A286&gt;MIN($A$10,$A$2),"",IF($A286&lt;50,"n.a.",IF(COUNT(INDEX(StockDaily[Adjusted close],MAX(1,$A286-50+1)):E286)=50,AVERAGE(INDEX(StockDaily[Adjusted close],MAX(1,$A286-50+1)):E286),"n.a.")))</f>
        <v/>
      </c>
      <c r="G286" s="166" t="str">
        <f>IF($A286&gt;MIN($A$10,$A$2),"",IF($A286&lt;200,"n.a.",IF(COUNT(INDEX(StockDaily[Adjusted close],MAX(1,$A286-200+1)):E286)=200,AVERAGE(INDEX(StockDaily[Adjusted close],MAX(1,$A286-200+1)):E286),"n.a.")))</f>
        <v/>
      </c>
      <c r="H286" s="136" t="str">
        <f>IF($A286&gt;MIN($A$10,$A$2),"",IF($A$5="","Choose stock",IF(NOT($A$12),"Check split rule",IF(NOT(ISNUMBER(B286)),"Invalid date",IF(OR(B286&lt;=0,B286&lt;&gt;INT(B286)),"Invalid date",IF(COUNTIFS(DemoHistory[Date],B286)&lt;&gt;1,"Duplicate date",IF(AND($A286&gt;1,B286&lt;=B285),"Dates out of order",IF(NOT(ISNUMBER(C286)),"Missing price",IF(C286&lt;=0,"Nonpositive price","OK")))))))))</f>
        <v/>
      </c>
      <c r="I286" s="136"/>
      <c r="J286" s="136"/>
      <c r="K286" s="136"/>
      <c r="L286" s="136"/>
      <c r="M286" s="136"/>
      <c r="N286" s="136" t="e">
        <f t="shared" si="10"/>
        <v>#N/A</v>
      </c>
      <c r="O286" s="136" t="e">
        <f t="shared" si="11"/>
        <v>#N/A</v>
      </c>
    </row>
    <row r="287" spans="1:15" ht="22.05" customHeight="1" x14ac:dyDescent="0.3">
      <c r="A287" s="136">
        <v>243</v>
      </c>
      <c r="B287" s="165" t="str">
        <f>IF($A287&gt;MIN($A$10,$A$2),"",INDEX(DemoHistory[Date],$A287))</f>
        <v/>
      </c>
      <c r="C287" s="166" t="str">
        <f>IF(OR($A287&gt;MIN($A$10,$A$2),$A$5=""),"",INDEX(DemoHistory[],$A287,MATCH($A$5,DemoHistory[#Headers],0)))</f>
        <v/>
      </c>
      <c r="D287" s="166" t="str">
        <f>IF($A287&gt;MIN($A$10,$A$2),"",IF(AND($A$12,$A$6=1,B287&lt;$A$7,$A$7&lt;=MAX(DemoHistory[Date])),$A$8,1))</f>
        <v/>
      </c>
      <c r="E287" s="166" t="str">
        <f t="shared" si="9"/>
        <v/>
      </c>
      <c r="F287" s="166" t="str">
        <f>IF($A287&gt;MIN($A$10,$A$2),"",IF($A287&lt;50,"n.a.",IF(COUNT(INDEX(StockDaily[Adjusted close],MAX(1,$A287-50+1)):E287)=50,AVERAGE(INDEX(StockDaily[Adjusted close],MAX(1,$A287-50+1)):E287),"n.a.")))</f>
        <v/>
      </c>
      <c r="G287" s="166" t="str">
        <f>IF($A287&gt;MIN($A$10,$A$2),"",IF($A287&lt;200,"n.a.",IF(COUNT(INDEX(StockDaily[Adjusted close],MAX(1,$A287-200+1)):E287)=200,AVERAGE(INDEX(StockDaily[Adjusted close],MAX(1,$A287-200+1)):E287),"n.a.")))</f>
        <v/>
      </c>
      <c r="H287" s="136" t="str">
        <f>IF($A287&gt;MIN($A$10,$A$2),"",IF($A$5="","Choose stock",IF(NOT($A$12),"Check split rule",IF(NOT(ISNUMBER(B287)),"Invalid date",IF(OR(B287&lt;=0,B287&lt;&gt;INT(B287)),"Invalid date",IF(COUNTIFS(DemoHistory[Date],B287)&lt;&gt;1,"Duplicate date",IF(AND($A287&gt;1,B287&lt;=B286),"Dates out of order",IF(NOT(ISNUMBER(C287)),"Missing price",IF(C287&lt;=0,"Nonpositive price","OK")))))))))</f>
        <v/>
      </c>
      <c r="I287" s="136"/>
      <c r="J287" s="136"/>
      <c r="K287" s="136"/>
      <c r="L287" s="136"/>
      <c r="M287" s="136"/>
      <c r="N287" s="136" t="e">
        <f t="shared" si="10"/>
        <v>#N/A</v>
      </c>
      <c r="O287" s="136" t="e">
        <f t="shared" si="11"/>
        <v>#N/A</v>
      </c>
    </row>
    <row r="288" spans="1:15" ht="22.05" customHeight="1" x14ac:dyDescent="0.3">
      <c r="A288" s="136">
        <v>244</v>
      </c>
      <c r="B288" s="165" t="str">
        <f>IF($A288&gt;MIN($A$10,$A$2),"",INDEX(DemoHistory[Date],$A288))</f>
        <v/>
      </c>
      <c r="C288" s="166" t="str">
        <f>IF(OR($A288&gt;MIN($A$10,$A$2),$A$5=""),"",INDEX(DemoHistory[],$A288,MATCH($A$5,DemoHistory[#Headers],0)))</f>
        <v/>
      </c>
      <c r="D288" s="166" t="str">
        <f>IF($A288&gt;MIN($A$10,$A$2),"",IF(AND($A$12,$A$6=1,B288&lt;$A$7,$A$7&lt;=MAX(DemoHistory[Date])),$A$8,1))</f>
        <v/>
      </c>
      <c r="E288" s="166" t="str">
        <f t="shared" si="9"/>
        <v/>
      </c>
      <c r="F288" s="166" t="str">
        <f>IF($A288&gt;MIN($A$10,$A$2),"",IF($A288&lt;50,"n.a.",IF(COUNT(INDEX(StockDaily[Adjusted close],MAX(1,$A288-50+1)):E288)=50,AVERAGE(INDEX(StockDaily[Adjusted close],MAX(1,$A288-50+1)):E288),"n.a.")))</f>
        <v/>
      </c>
      <c r="G288" s="166" t="str">
        <f>IF($A288&gt;MIN($A$10,$A$2),"",IF($A288&lt;200,"n.a.",IF(COUNT(INDEX(StockDaily[Adjusted close],MAX(1,$A288-200+1)):E288)=200,AVERAGE(INDEX(StockDaily[Adjusted close],MAX(1,$A288-200+1)):E288),"n.a.")))</f>
        <v/>
      </c>
      <c r="H288" s="136" t="str">
        <f>IF($A288&gt;MIN($A$10,$A$2),"",IF($A$5="","Choose stock",IF(NOT($A$12),"Check split rule",IF(NOT(ISNUMBER(B288)),"Invalid date",IF(OR(B288&lt;=0,B288&lt;&gt;INT(B288)),"Invalid date",IF(COUNTIFS(DemoHistory[Date],B288)&lt;&gt;1,"Duplicate date",IF(AND($A288&gt;1,B288&lt;=B287),"Dates out of order",IF(NOT(ISNUMBER(C288)),"Missing price",IF(C288&lt;=0,"Nonpositive price","OK")))))))))</f>
        <v/>
      </c>
      <c r="I288" s="136"/>
      <c r="J288" s="136"/>
      <c r="K288" s="136"/>
      <c r="L288" s="136"/>
      <c r="M288" s="136"/>
      <c r="N288" s="136" t="e">
        <f t="shared" si="10"/>
        <v>#N/A</v>
      </c>
      <c r="O288" s="136" t="e">
        <f t="shared" si="11"/>
        <v>#N/A</v>
      </c>
    </row>
    <row r="289" spans="1:15" ht="22.05" customHeight="1" x14ac:dyDescent="0.3">
      <c r="A289" s="136">
        <v>245</v>
      </c>
      <c r="B289" s="165" t="str">
        <f>IF($A289&gt;MIN($A$10,$A$2),"",INDEX(DemoHistory[Date],$A289))</f>
        <v/>
      </c>
      <c r="C289" s="166" t="str">
        <f>IF(OR($A289&gt;MIN($A$10,$A$2),$A$5=""),"",INDEX(DemoHistory[],$A289,MATCH($A$5,DemoHistory[#Headers],0)))</f>
        <v/>
      </c>
      <c r="D289" s="166" t="str">
        <f>IF($A289&gt;MIN($A$10,$A$2),"",IF(AND($A$12,$A$6=1,B289&lt;$A$7,$A$7&lt;=MAX(DemoHistory[Date])),$A$8,1))</f>
        <v/>
      </c>
      <c r="E289" s="166" t="str">
        <f t="shared" si="9"/>
        <v/>
      </c>
      <c r="F289" s="166" t="str">
        <f>IF($A289&gt;MIN($A$10,$A$2),"",IF($A289&lt;50,"n.a.",IF(COUNT(INDEX(StockDaily[Adjusted close],MAX(1,$A289-50+1)):E289)=50,AVERAGE(INDEX(StockDaily[Adjusted close],MAX(1,$A289-50+1)):E289),"n.a.")))</f>
        <v/>
      </c>
      <c r="G289" s="166" t="str">
        <f>IF($A289&gt;MIN($A$10,$A$2),"",IF($A289&lt;200,"n.a.",IF(COUNT(INDEX(StockDaily[Adjusted close],MAX(1,$A289-200+1)):E289)=200,AVERAGE(INDEX(StockDaily[Adjusted close],MAX(1,$A289-200+1)):E289),"n.a.")))</f>
        <v/>
      </c>
      <c r="H289" s="136" t="str">
        <f>IF($A289&gt;MIN($A$10,$A$2),"",IF($A$5="","Choose stock",IF(NOT($A$12),"Check split rule",IF(NOT(ISNUMBER(B289)),"Invalid date",IF(OR(B289&lt;=0,B289&lt;&gt;INT(B289)),"Invalid date",IF(COUNTIFS(DemoHistory[Date],B289)&lt;&gt;1,"Duplicate date",IF(AND($A289&gt;1,B289&lt;=B288),"Dates out of order",IF(NOT(ISNUMBER(C289)),"Missing price",IF(C289&lt;=0,"Nonpositive price","OK")))))))))</f>
        <v/>
      </c>
      <c r="I289" s="136"/>
      <c r="J289" s="136"/>
      <c r="K289" s="136"/>
      <c r="L289" s="136"/>
      <c r="M289" s="136"/>
      <c r="N289" s="136" t="e">
        <f t="shared" si="10"/>
        <v>#N/A</v>
      </c>
      <c r="O289" s="136" t="e">
        <f t="shared" si="11"/>
        <v>#N/A</v>
      </c>
    </row>
    <row r="290" spans="1:15" ht="22.05" customHeight="1" x14ac:dyDescent="0.3">
      <c r="A290" s="136">
        <v>246</v>
      </c>
      <c r="B290" s="165" t="str">
        <f>IF($A290&gt;MIN($A$10,$A$2),"",INDEX(DemoHistory[Date],$A290))</f>
        <v/>
      </c>
      <c r="C290" s="166" t="str">
        <f>IF(OR($A290&gt;MIN($A$10,$A$2),$A$5=""),"",INDEX(DemoHistory[],$A290,MATCH($A$5,DemoHistory[#Headers],0)))</f>
        <v/>
      </c>
      <c r="D290" s="166" t="str">
        <f>IF($A290&gt;MIN($A$10,$A$2),"",IF(AND($A$12,$A$6=1,B290&lt;$A$7,$A$7&lt;=MAX(DemoHistory[Date])),$A$8,1))</f>
        <v/>
      </c>
      <c r="E290" s="166" t="str">
        <f t="shared" si="9"/>
        <v/>
      </c>
      <c r="F290" s="166" t="str">
        <f>IF($A290&gt;MIN($A$10,$A$2),"",IF($A290&lt;50,"n.a.",IF(COUNT(INDEX(StockDaily[Adjusted close],MAX(1,$A290-50+1)):E290)=50,AVERAGE(INDEX(StockDaily[Adjusted close],MAX(1,$A290-50+1)):E290),"n.a.")))</f>
        <v/>
      </c>
      <c r="G290" s="166" t="str">
        <f>IF($A290&gt;MIN($A$10,$A$2),"",IF($A290&lt;200,"n.a.",IF(COUNT(INDEX(StockDaily[Adjusted close],MAX(1,$A290-200+1)):E290)=200,AVERAGE(INDEX(StockDaily[Adjusted close],MAX(1,$A290-200+1)):E290),"n.a.")))</f>
        <v/>
      </c>
      <c r="H290" s="136" t="str">
        <f>IF($A290&gt;MIN($A$10,$A$2),"",IF($A$5="","Choose stock",IF(NOT($A$12),"Check split rule",IF(NOT(ISNUMBER(B290)),"Invalid date",IF(OR(B290&lt;=0,B290&lt;&gt;INT(B290)),"Invalid date",IF(COUNTIFS(DemoHistory[Date],B290)&lt;&gt;1,"Duplicate date",IF(AND($A290&gt;1,B290&lt;=B289),"Dates out of order",IF(NOT(ISNUMBER(C290)),"Missing price",IF(C290&lt;=0,"Nonpositive price","OK")))))))))</f>
        <v/>
      </c>
      <c r="I290" s="136"/>
      <c r="J290" s="136"/>
      <c r="K290" s="136"/>
      <c r="L290" s="136"/>
      <c r="M290" s="136"/>
      <c r="N290" s="136" t="e">
        <f t="shared" si="10"/>
        <v>#N/A</v>
      </c>
      <c r="O290" s="136" t="e">
        <f t="shared" si="11"/>
        <v>#N/A</v>
      </c>
    </row>
    <row r="291" spans="1:15" ht="22.05" customHeight="1" x14ac:dyDescent="0.3">
      <c r="A291" s="136">
        <v>247</v>
      </c>
      <c r="B291" s="165" t="str">
        <f>IF($A291&gt;MIN($A$10,$A$2),"",INDEX(DemoHistory[Date],$A291))</f>
        <v/>
      </c>
      <c r="C291" s="166" t="str">
        <f>IF(OR($A291&gt;MIN($A$10,$A$2),$A$5=""),"",INDEX(DemoHistory[],$A291,MATCH($A$5,DemoHistory[#Headers],0)))</f>
        <v/>
      </c>
      <c r="D291" s="166" t="str">
        <f>IF($A291&gt;MIN($A$10,$A$2),"",IF(AND($A$12,$A$6=1,B291&lt;$A$7,$A$7&lt;=MAX(DemoHistory[Date])),$A$8,1))</f>
        <v/>
      </c>
      <c r="E291" s="166" t="str">
        <f t="shared" si="9"/>
        <v/>
      </c>
      <c r="F291" s="166" t="str">
        <f>IF($A291&gt;MIN($A$10,$A$2),"",IF($A291&lt;50,"n.a.",IF(COUNT(INDEX(StockDaily[Adjusted close],MAX(1,$A291-50+1)):E291)=50,AVERAGE(INDEX(StockDaily[Adjusted close],MAX(1,$A291-50+1)):E291),"n.a.")))</f>
        <v/>
      </c>
      <c r="G291" s="166" t="str">
        <f>IF($A291&gt;MIN($A$10,$A$2),"",IF($A291&lt;200,"n.a.",IF(COUNT(INDEX(StockDaily[Adjusted close],MAX(1,$A291-200+1)):E291)=200,AVERAGE(INDEX(StockDaily[Adjusted close],MAX(1,$A291-200+1)):E291),"n.a.")))</f>
        <v/>
      </c>
      <c r="H291" s="136" t="str">
        <f>IF($A291&gt;MIN($A$10,$A$2),"",IF($A$5="","Choose stock",IF(NOT($A$12),"Check split rule",IF(NOT(ISNUMBER(B291)),"Invalid date",IF(OR(B291&lt;=0,B291&lt;&gt;INT(B291)),"Invalid date",IF(COUNTIFS(DemoHistory[Date],B291)&lt;&gt;1,"Duplicate date",IF(AND($A291&gt;1,B291&lt;=B290),"Dates out of order",IF(NOT(ISNUMBER(C291)),"Missing price",IF(C291&lt;=0,"Nonpositive price","OK")))))))))</f>
        <v/>
      </c>
      <c r="I291" s="136"/>
      <c r="J291" s="136"/>
      <c r="K291" s="136"/>
      <c r="L291" s="136"/>
      <c r="M291" s="136"/>
      <c r="N291" s="136" t="e">
        <f t="shared" si="10"/>
        <v>#N/A</v>
      </c>
      <c r="O291" s="136" t="e">
        <f t="shared" si="11"/>
        <v>#N/A</v>
      </c>
    </row>
    <row r="292" spans="1:15" ht="22.05" customHeight="1" x14ac:dyDescent="0.3">
      <c r="A292" s="136">
        <v>248</v>
      </c>
      <c r="B292" s="165" t="str">
        <f>IF($A292&gt;MIN($A$10,$A$2),"",INDEX(DemoHistory[Date],$A292))</f>
        <v/>
      </c>
      <c r="C292" s="166" t="str">
        <f>IF(OR($A292&gt;MIN($A$10,$A$2),$A$5=""),"",INDEX(DemoHistory[],$A292,MATCH($A$5,DemoHistory[#Headers],0)))</f>
        <v/>
      </c>
      <c r="D292" s="166" t="str">
        <f>IF($A292&gt;MIN($A$10,$A$2),"",IF(AND($A$12,$A$6=1,B292&lt;$A$7,$A$7&lt;=MAX(DemoHistory[Date])),$A$8,1))</f>
        <v/>
      </c>
      <c r="E292" s="166" t="str">
        <f t="shared" si="9"/>
        <v/>
      </c>
      <c r="F292" s="166" t="str">
        <f>IF($A292&gt;MIN($A$10,$A$2),"",IF($A292&lt;50,"n.a.",IF(COUNT(INDEX(StockDaily[Adjusted close],MAX(1,$A292-50+1)):E292)=50,AVERAGE(INDEX(StockDaily[Adjusted close],MAX(1,$A292-50+1)):E292),"n.a.")))</f>
        <v/>
      </c>
      <c r="G292" s="166" t="str">
        <f>IF($A292&gt;MIN($A$10,$A$2),"",IF($A292&lt;200,"n.a.",IF(COUNT(INDEX(StockDaily[Adjusted close],MAX(1,$A292-200+1)):E292)=200,AVERAGE(INDEX(StockDaily[Adjusted close],MAX(1,$A292-200+1)):E292),"n.a.")))</f>
        <v/>
      </c>
      <c r="H292" s="136" t="str">
        <f>IF($A292&gt;MIN($A$10,$A$2),"",IF($A$5="","Choose stock",IF(NOT($A$12),"Check split rule",IF(NOT(ISNUMBER(B292)),"Invalid date",IF(OR(B292&lt;=0,B292&lt;&gt;INT(B292)),"Invalid date",IF(COUNTIFS(DemoHistory[Date],B292)&lt;&gt;1,"Duplicate date",IF(AND($A292&gt;1,B292&lt;=B291),"Dates out of order",IF(NOT(ISNUMBER(C292)),"Missing price",IF(C292&lt;=0,"Nonpositive price","OK")))))))))</f>
        <v/>
      </c>
      <c r="I292" s="136"/>
      <c r="J292" s="136"/>
      <c r="K292" s="136"/>
      <c r="L292" s="136"/>
      <c r="M292" s="136"/>
      <c r="N292" s="136" t="e">
        <f t="shared" si="10"/>
        <v>#N/A</v>
      </c>
      <c r="O292" s="136" t="e">
        <f t="shared" si="11"/>
        <v>#N/A</v>
      </c>
    </row>
    <row r="293" spans="1:15" ht="22.05" customHeight="1" x14ac:dyDescent="0.3">
      <c r="A293" s="136">
        <v>249</v>
      </c>
      <c r="B293" s="165" t="str">
        <f>IF($A293&gt;MIN($A$10,$A$2),"",INDEX(DemoHistory[Date],$A293))</f>
        <v/>
      </c>
      <c r="C293" s="166" t="str">
        <f>IF(OR($A293&gt;MIN($A$10,$A$2),$A$5=""),"",INDEX(DemoHistory[],$A293,MATCH($A$5,DemoHistory[#Headers],0)))</f>
        <v/>
      </c>
      <c r="D293" s="166" t="str">
        <f>IF($A293&gt;MIN($A$10,$A$2),"",IF(AND($A$12,$A$6=1,B293&lt;$A$7,$A$7&lt;=MAX(DemoHistory[Date])),$A$8,1))</f>
        <v/>
      </c>
      <c r="E293" s="166" t="str">
        <f t="shared" si="9"/>
        <v/>
      </c>
      <c r="F293" s="166" t="str">
        <f>IF($A293&gt;MIN($A$10,$A$2),"",IF($A293&lt;50,"n.a.",IF(COUNT(INDEX(StockDaily[Adjusted close],MAX(1,$A293-50+1)):E293)=50,AVERAGE(INDEX(StockDaily[Adjusted close],MAX(1,$A293-50+1)):E293),"n.a.")))</f>
        <v/>
      </c>
      <c r="G293" s="166" t="str">
        <f>IF($A293&gt;MIN($A$10,$A$2),"",IF($A293&lt;200,"n.a.",IF(COUNT(INDEX(StockDaily[Adjusted close],MAX(1,$A293-200+1)):E293)=200,AVERAGE(INDEX(StockDaily[Adjusted close],MAX(1,$A293-200+1)):E293),"n.a.")))</f>
        <v/>
      </c>
      <c r="H293" s="136" t="str">
        <f>IF($A293&gt;MIN($A$10,$A$2),"",IF($A$5="","Choose stock",IF(NOT($A$12),"Check split rule",IF(NOT(ISNUMBER(B293)),"Invalid date",IF(OR(B293&lt;=0,B293&lt;&gt;INT(B293)),"Invalid date",IF(COUNTIFS(DemoHistory[Date],B293)&lt;&gt;1,"Duplicate date",IF(AND($A293&gt;1,B293&lt;=B292),"Dates out of order",IF(NOT(ISNUMBER(C293)),"Missing price",IF(C293&lt;=0,"Nonpositive price","OK")))))))))</f>
        <v/>
      </c>
      <c r="I293" s="136"/>
      <c r="J293" s="136"/>
      <c r="K293" s="136"/>
      <c r="L293" s="136"/>
      <c r="M293" s="136"/>
      <c r="N293" s="136" t="e">
        <f t="shared" si="10"/>
        <v>#N/A</v>
      </c>
      <c r="O293" s="136" t="e">
        <f t="shared" si="11"/>
        <v>#N/A</v>
      </c>
    </row>
    <row r="294" spans="1:15" ht="22.05" customHeight="1" x14ac:dyDescent="0.3">
      <c r="A294" s="136">
        <v>250</v>
      </c>
      <c r="B294" s="165" t="str">
        <f>IF($A294&gt;MIN($A$10,$A$2),"",INDEX(DemoHistory[Date],$A294))</f>
        <v/>
      </c>
      <c r="C294" s="166" t="str">
        <f>IF(OR($A294&gt;MIN($A$10,$A$2),$A$5=""),"",INDEX(DemoHistory[],$A294,MATCH($A$5,DemoHistory[#Headers],0)))</f>
        <v/>
      </c>
      <c r="D294" s="166" t="str">
        <f>IF($A294&gt;MIN($A$10,$A$2),"",IF(AND($A$12,$A$6=1,B294&lt;$A$7,$A$7&lt;=MAX(DemoHistory[Date])),$A$8,1))</f>
        <v/>
      </c>
      <c r="E294" s="166" t="str">
        <f t="shared" si="9"/>
        <v/>
      </c>
      <c r="F294" s="166" t="str">
        <f>IF($A294&gt;MIN($A$10,$A$2),"",IF($A294&lt;50,"n.a.",IF(COUNT(INDEX(StockDaily[Adjusted close],MAX(1,$A294-50+1)):E294)=50,AVERAGE(INDEX(StockDaily[Adjusted close],MAX(1,$A294-50+1)):E294),"n.a.")))</f>
        <v/>
      </c>
      <c r="G294" s="166" t="str">
        <f>IF($A294&gt;MIN($A$10,$A$2),"",IF($A294&lt;200,"n.a.",IF(COUNT(INDEX(StockDaily[Adjusted close],MAX(1,$A294-200+1)):E294)=200,AVERAGE(INDEX(StockDaily[Adjusted close],MAX(1,$A294-200+1)):E294),"n.a.")))</f>
        <v/>
      </c>
      <c r="H294" s="136" t="str">
        <f>IF($A294&gt;MIN($A$10,$A$2),"",IF($A$5="","Choose stock",IF(NOT($A$12),"Check split rule",IF(NOT(ISNUMBER(B294)),"Invalid date",IF(OR(B294&lt;=0,B294&lt;&gt;INT(B294)),"Invalid date",IF(COUNTIFS(DemoHistory[Date],B294)&lt;&gt;1,"Duplicate date",IF(AND($A294&gt;1,B294&lt;=B293),"Dates out of order",IF(NOT(ISNUMBER(C294)),"Missing price",IF(C294&lt;=0,"Nonpositive price","OK")))))))))</f>
        <v/>
      </c>
      <c r="I294" s="136"/>
      <c r="J294" s="136"/>
      <c r="K294" s="136"/>
      <c r="L294" s="136"/>
      <c r="M294" s="136"/>
      <c r="N294" s="136" t="e">
        <f t="shared" si="10"/>
        <v>#N/A</v>
      </c>
      <c r="O294" s="136" t="e">
        <f t="shared" si="11"/>
        <v>#N/A</v>
      </c>
    </row>
    <row r="295" spans="1:15" ht="22.05" customHeight="1" x14ac:dyDescent="0.3">
      <c r="A295" s="136">
        <v>251</v>
      </c>
      <c r="B295" s="165" t="str">
        <f>IF($A295&gt;MIN($A$10,$A$2),"",INDEX(DemoHistory[Date],$A295))</f>
        <v/>
      </c>
      <c r="C295" s="166" t="str">
        <f>IF(OR($A295&gt;MIN($A$10,$A$2),$A$5=""),"",INDEX(DemoHistory[],$A295,MATCH($A$5,DemoHistory[#Headers],0)))</f>
        <v/>
      </c>
      <c r="D295" s="166" t="str">
        <f>IF($A295&gt;MIN($A$10,$A$2),"",IF(AND($A$12,$A$6=1,B295&lt;$A$7,$A$7&lt;=MAX(DemoHistory[Date])),$A$8,1))</f>
        <v/>
      </c>
      <c r="E295" s="166" t="str">
        <f t="shared" si="9"/>
        <v/>
      </c>
      <c r="F295" s="166" t="str">
        <f>IF($A295&gt;MIN($A$10,$A$2),"",IF($A295&lt;50,"n.a.",IF(COUNT(INDEX(StockDaily[Adjusted close],MAX(1,$A295-50+1)):E295)=50,AVERAGE(INDEX(StockDaily[Adjusted close],MAX(1,$A295-50+1)):E295),"n.a.")))</f>
        <v/>
      </c>
      <c r="G295" s="166" t="str">
        <f>IF($A295&gt;MIN($A$10,$A$2),"",IF($A295&lt;200,"n.a.",IF(COUNT(INDEX(StockDaily[Adjusted close],MAX(1,$A295-200+1)):E295)=200,AVERAGE(INDEX(StockDaily[Adjusted close],MAX(1,$A295-200+1)):E295),"n.a.")))</f>
        <v/>
      </c>
      <c r="H295" s="136" t="str">
        <f>IF($A295&gt;MIN($A$10,$A$2),"",IF($A$5="","Choose stock",IF(NOT($A$12),"Check split rule",IF(NOT(ISNUMBER(B295)),"Invalid date",IF(OR(B295&lt;=0,B295&lt;&gt;INT(B295)),"Invalid date",IF(COUNTIFS(DemoHistory[Date],B295)&lt;&gt;1,"Duplicate date",IF(AND($A295&gt;1,B295&lt;=B294),"Dates out of order",IF(NOT(ISNUMBER(C295)),"Missing price",IF(C295&lt;=0,"Nonpositive price","OK")))))))))</f>
        <v/>
      </c>
      <c r="I295" s="136"/>
      <c r="J295" s="136"/>
      <c r="K295" s="136"/>
      <c r="L295" s="136"/>
      <c r="M295" s="136"/>
      <c r="N295" s="136" t="e">
        <f t="shared" si="10"/>
        <v>#N/A</v>
      </c>
      <c r="O295" s="136" t="e">
        <f t="shared" si="11"/>
        <v>#N/A</v>
      </c>
    </row>
    <row r="296" spans="1:15" ht="22.05" customHeight="1" x14ac:dyDescent="0.3">
      <c r="A296" s="136">
        <v>252</v>
      </c>
      <c r="B296" s="165" t="str">
        <f>IF($A296&gt;MIN($A$10,$A$2),"",INDEX(DemoHistory[Date],$A296))</f>
        <v/>
      </c>
      <c r="C296" s="166" t="str">
        <f>IF(OR($A296&gt;MIN($A$10,$A$2),$A$5=""),"",INDEX(DemoHistory[],$A296,MATCH($A$5,DemoHistory[#Headers],0)))</f>
        <v/>
      </c>
      <c r="D296" s="166" t="str">
        <f>IF($A296&gt;MIN($A$10,$A$2),"",IF(AND($A$12,$A$6=1,B296&lt;$A$7,$A$7&lt;=MAX(DemoHistory[Date])),$A$8,1))</f>
        <v/>
      </c>
      <c r="E296" s="166" t="str">
        <f t="shared" si="9"/>
        <v/>
      </c>
      <c r="F296" s="166" t="str">
        <f>IF($A296&gt;MIN($A$10,$A$2),"",IF($A296&lt;50,"n.a.",IF(COUNT(INDEX(StockDaily[Adjusted close],MAX(1,$A296-50+1)):E296)=50,AVERAGE(INDEX(StockDaily[Adjusted close],MAX(1,$A296-50+1)):E296),"n.a.")))</f>
        <v/>
      </c>
      <c r="G296" s="166" t="str">
        <f>IF($A296&gt;MIN($A$10,$A$2),"",IF($A296&lt;200,"n.a.",IF(COUNT(INDEX(StockDaily[Adjusted close],MAX(1,$A296-200+1)):E296)=200,AVERAGE(INDEX(StockDaily[Adjusted close],MAX(1,$A296-200+1)):E296),"n.a.")))</f>
        <v/>
      </c>
      <c r="H296" s="136" t="str">
        <f>IF($A296&gt;MIN($A$10,$A$2),"",IF($A$5="","Choose stock",IF(NOT($A$12),"Check split rule",IF(NOT(ISNUMBER(B296)),"Invalid date",IF(OR(B296&lt;=0,B296&lt;&gt;INT(B296)),"Invalid date",IF(COUNTIFS(DemoHistory[Date],B296)&lt;&gt;1,"Duplicate date",IF(AND($A296&gt;1,B296&lt;=B295),"Dates out of order",IF(NOT(ISNUMBER(C296)),"Missing price",IF(C296&lt;=0,"Nonpositive price","OK")))))))))</f>
        <v/>
      </c>
      <c r="I296" s="136"/>
      <c r="J296" s="136"/>
      <c r="K296" s="136"/>
      <c r="L296" s="136"/>
      <c r="M296" s="136"/>
      <c r="N296" s="136" t="e">
        <f t="shared" si="10"/>
        <v>#N/A</v>
      </c>
      <c r="O296" s="136" t="e">
        <f t="shared" si="11"/>
        <v>#N/A</v>
      </c>
    </row>
    <row r="297" spans="1:15" ht="22.05" customHeight="1" x14ac:dyDescent="0.3">
      <c r="A297" s="136">
        <v>253</v>
      </c>
      <c r="B297" s="165" t="str">
        <f>IF($A297&gt;MIN($A$10,$A$2),"",INDEX(DemoHistory[Date],$A297))</f>
        <v/>
      </c>
      <c r="C297" s="166" t="str">
        <f>IF(OR($A297&gt;MIN($A$10,$A$2),$A$5=""),"",INDEX(DemoHistory[],$A297,MATCH($A$5,DemoHistory[#Headers],0)))</f>
        <v/>
      </c>
      <c r="D297" s="166" t="str">
        <f>IF($A297&gt;MIN($A$10,$A$2),"",IF(AND($A$12,$A$6=1,B297&lt;$A$7,$A$7&lt;=MAX(DemoHistory[Date])),$A$8,1))</f>
        <v/>
      </c>
      <c r="E297" s="166" t="str">
        <f t="shared" si="9"/>
        <v/>
      </c>
      <c r="F297" s="166" t="str">
        <f>IF($A297&gt;MIN($A$10,$A$2),"",IF($A297&lt;50,"n.a.",IF(COUNT(INDEX(StockDaily[Adjusted close],MAX(1,$A297-50+1)):E297)=50,AVERAGE(INDEX(StockDaily[Adjusted close],MAX(1,$A297-50+1)):E297),"n.a.")))</f>
        <v/>
      </c>
      <c r="G297" s="166" t="str">
        <f>IF($A297&gt;MIN($A$10,$A$2),"",IF($A297&lt;200,"n.a.",IF(COUNT(INDEX(StockDaily[Adjusted close],MAX(1,$A297-200+1)):E297)=200,AVERAGE(INDEX(StockDaily[Adjusted close],MAX(1,$A297-200+1)):E297),"n.a.")))</f>
        <v/>
      </c>
      <c r="H297" s="136" t="str">
        <f>IF($A297&gt;MIN($A$10,$A$2),"",IF($A$5="","Choose stock",IF(NOT($A$12),"Check split rule",IF(NOT(ISNUMBER(B297)),"Invalid date",IF(OR(B297&lt;=0,B297&lt;&gt;INT(B297)),"Invalid date",IF(COUNTIFS(DemoHistory[Date],B297)&lt;&gt;1,"Duplicate date",IF(AND($A297&gt;1,B297&lt;=B296),"Dates out of order",IF(NOT(ISNUMBER(C297)),"Missing price",IF(C297&lt;=0,"Nonpositive price","OK")))))))))</f>
        <v/>
      </c>
      <c r="I297" s="136"/>
      <c r="J297" s="136"/>
      <c r="K297" s="136"/>
      <c r="L297" s="136"/>
      <c r="M297" s="136"/>
      <c r="N297" s="136" t="e">
        <f t="shared" si="10"/>
        <v>#N/A</v>
      </c>
      <c r="O297" s="136" t="e">
        <f t="shared" si="11"/>
        <v>#N/A</v>
      </c>
    </row>
    <row r="298" spans="1:15" ht="22.05" customHeight="1" x14ac:dyDescent="0.3">
      <c r="A298" s="136">
        <v>254</v>
      </c>
      <c r="B298" s="165" t="str">
        <f>IF($A298&gt;MIN($A$10,$A$2),"",INDEX(DemoHistory[Date],$A298))</f>
        <v/>
      </c>
      <c r="C298" s="166" t="str">
        <f>IF(OR($A298&gt;MIN($A$10,$A$2),$A$5=""),"",INDEX(DemoHistory[],$A298,MATCH($A$5,DemoHistory[#Headers],0)))</f>
        <v/>
      </c>
      <c r="D298" s="166" t="str">
        <f>IF($A298&gt;MIN($A$10,$A$2),"",IF(AND($A$12,$A$6=1,B298&lt;$A$7,$A$7&lt;=MAX(DemoHistory[Date])),$A$8,1))</f>
        <v/>
      </c>
      <c r="E298" s="166" t="str">
        <f t="shared" si="9"/>
        <v/>
      </c>
      <c r="F298" s="166" t="str">
        <f>IF($A298&gt;MIN($A$10,$A$2),"",IF($A298&lt;50,"n.a.",IF(COUNT(INDEX(StockDaily[Adjusted close],MAX(1,$A298-50+1)):E298)=50,AVERAGE(INDEX(StockDaily[Adjusted close],MAX(1,$A298-50+1)):E298),"n.a.")))</f>
        <v/>
      </c>
      <c r="G298" s="166" t="str">
        <f>IF($A298&gt;MIN($A$10,$A$2),"",IF($A298&lt;200,"n.a.",IF(COUNT(INDEX(StockDaily[Adjusted close],MAX(1,$A298-200+1)):E298)=200,AVERAGE(INDEX(StockDaily[Adjusted close],MAX(1,$A298-200+1)):E298),"n.a.")))</f>
        <v/>
      </c>
      <c r="H298" s="136" t="str">
        <f>IF($A298&gt;MIN($A$10,$A$2),"",IF($A$5="","Choose stock",IF(NOT($A$12),"Check split rule",IF(NOT(ISNUMBER(B298)),"Invalid date",IF(OR(B298&lt;=0,B298&lt;&gt;INT(B298)),"Invalid date",IF(COUNTIFS(DemoHistory[Date],B298)&lt;&gt;1,"Duplicate date",IF(AND($A298&gt;1,B298&lt;=B297),"Dates out of order",IF(NOT(ISNUMBER(C298)),"Missing price",IF(C298&lt;=0,"Nonpositive price","OK")))))))))</f>
        <v/>
      </c>
      <c r="I298" s="136"/>
      <c r="J298" s="136"/>
      <c r="K298" s="136"/>
      <c r="L298" s="136"/>
      <c r="M298" s="136"/>
      <c r="N298" s="136" t="e">
        <f t="shared" si="10"/>
        <v>#N/A</v>
      </c>
      <c r="O298" s="136" t="e">
        <f t="shared" si="11"/>
        <v>#N/A</v>
      </c>
    </row>
    <row r="299" spans="1:15" ht="22.05" customHeight="1" x14ac:dyDescent="0.3">
      <c r="A299" s="136">
        <v>255</v>
      </c>
      <c r="B299" s="165" t="str">
        <f>IF($A299&gt;MIN($A$10,$A$2),"",INDEX(DemoHistory[Date],$A299))</f>
        <v/>
      </c>
      <c r="C299" s="166" t="str">
        <f>IF(OR($A299&gt;MIN($A$10,$A$2),$A$5=""),"",INDEX(DemoHistory[],$A299,MATCH($A$5,DemoHistory[#Headers],0)))</f>
        <v/>
      </c>
      <c r="D299" s="166" t="str">
        <f>IF($A299&gt;MIN($A$10,$A$2),"",IF(AND($A$12,$A$6=1,B299&lt;$A$7,$A$7&lt;=MAX(DemoHistory[Date])),$A$8,1))</f>
        <v/>
      </c>
      <c r="E299" s="166" t="str">
        <f t="shared" si="9"/>
        <v/>
      </c>
      <c r="F299" s="166" t="str">
        <f>IF($A299&gt;MIN($A$10,$A$2),"",IF($A299&lt;50,"n.a.",IF(COUNT(INDEX(StockDaily[Adjusted close],MAX(1,$A299-50+1)):E299)=50,AVERAGE(INDEX(StockDaily[Adjusted close],MAX(1,$A299-50+1)):E299),"n.a.")))</f>
        <v/>
      </c>
      <c r="G299" s="166" t="str">
        <f>IF($A299&gt;MIN($A$10,$A$2),"",IF($A299&lt;200,"n.a.",IF(COUNT(INDEX(StockDaily[Adjusted close],MAX(1,$A299-200+1)):E299)=200,AVERAGE(INDEX(StockDaily[Adjusted close],MAX(1,$A299-200+1)):E299),"n.a.")))</f>
        <v/>
      </c>
      <c r="H299" s="136" t="str">
        <f>IF($A299&gt;MIN($A$10,$A$2),"",IF($A$5="","Choose stock",IF(NOT($A$12),"Check split rule",IF(NOT(ISNUMBER(B299)),"Invalid date",IF(OR(B299&lt;=0,B299&lt;&gt;INT(B299)),"Invalid date",IF(COUNTIFS(DemoHistory[Date],B299)&lt;&gt;1,"Duplicate date",IF(AND($A299&gt;1,B299&lt;=B298),"Dates out of order",IF(NOT(ISNUMBER(C299)),"Missing price",IF(C299&lt;=0,"Nonpositive price","OK")))))))))</f>
        <v/>
      </c>
      <c r="I299" s="136"/>
      <c r="J299" s="136"/>
      <c r="K299" s="136"/>
      <c r="L299" s="136"/>
      <c r="M299" s="136"/>
      <c r="N299" s="136" t="e">
        <f t="shared" si="10"/>
        <v>#N/A</v>
      </c>
      <c r="O299" s="136" t="e">
        <f t="shared" si="11"/>
        <v>#N/A</v>
      </c>
    </row>
    <row r="300" spans="1:15" ht="22.05" customHeight="1" x14ac:dyDescent="0.3">
      <c r="A300" s="136">
        <v>256</v>
      </c>
      <c r="B300" s="165" t="str">
        <f>IF($A300&gt;MIN($A$10,$A$2),"",INDEX(DemoHistory[Date],$A300))</f>
        <v/>
      </c>
      <c r="C300" s="166" t="str">
        <f>IF(OR($A300&gt;MIN($A$10,$A$2),$A$5=""),"",INDEX(DemoHistory[],$A300,MATCH($A$5,DemoHistory[#Headers],0)))</f>
        <v/>
      </c>
      <c r="D300" s="166" t="str">
        <f>IF($A300&gt;MIN($A$10,$A$2),"",IF(AND($A$12,$A$6=1,B300&lt;$A$7,$A$7&lt;=MAX(DemoHistory[Date])),$A$8,1))</f>
        <v/>
      </c>
      <c r="E300" s="166" t="str">
        <f t="shared" si="9"/>
        <v/>
      </c>
      <c r="F300" s="166" t="str">
        <f>IF($A300&gt;MIN($A$10,$A$2),"",IF($A300&lt;50,"n.a.",IF(COUNT(INDEX(StockDaily[Adjusted close],MAX(1,$A300-50+1)):E300)=50,AVERAGE(INDEX(StockDaily[Adjusted close],MAX(1,$A300-50+1)):E300),"n.a.")))</f>
        <v/>
      </c>
      <c r="G300" s="166" t="str">
        <f>IF($A300&gt;MIN($A$10,$A$2),"",IF($A300&lt;200,"n.a.",IF(COUNT(INDEX(StockDaily[Adjusted close],MAX(1,$A300-200+1)):E300)=200,AVERAGE(INDEX(StockDaily[Adjusted close],MAX(1,$A300-200+1)):E300),"n.a.")))</f>
        <v/>
      </c>
      <c r="H300" s="136" t="str">
        <f>IF($A300&gt;MIN($A$10,$A$2),"",IF($A$5="","Choose stock",IF(NOT($A$12),"Check split rule",IF(NOT(ISNUMBER(B300)),"Invalid date",IF(OR(B300&lt;=0,B300&lt;&gt;INT(B300)),"Invalid date",IF(COUNTIFS(DemoHistory[Date],B300)&lt;&gt;1,"Duplicate date",IF(AND($A300&gt;1,B300&lt;=B299),"Dates out of order",IF(NOT(ISNUMBER(C300)),"Missing price",IF(C300&lt;=0,"Nonpositive price","OK")))))))))</f>
        <v/>
      </c>
      <c r="I300" s="136"/>
      <c r="J300" s="136"/>
      <c r="K300" s="136"/>
      <c r="L300" s="136"/>
      <c r="M300" s="136"/>
      <c r="N300" s="136" t="e">
        <f t="shared" si="10"/>
        <v>#N/A</v>
      </c>
      <c r="O300" s="136" t="e">
        <f t="shared" si="11"/>
        <v>#N/A</v>
      </c>
    </row>
    <row r="301" spans="1:15" ht="22.05" customHeight="1" x14ac:dyDescent="0.3">
      <c r="A301" s="136">
        <v>257</v>
      </c>
      <c r="B301" s="165" t="str">
        <f>IF($A301&gt;MIN($A$10,$A$2),"",INDEX(DemoHistory[Date],$A301))</f>
        <v/>
      </c>
      <c r="C301" s="166" t="str">
        <f>IF(OR($A301&gt;MIN($A$10,$A$2),$A$5=""),"",INDEX(DemoHistory[],$A301,MATCH($A$5,DemoHistory[#Headers],0)))</f>
        <v/>
      </c>
      <c r="D301" s="166" t="str">
        <f>IF($A301&gt;MIN($A$10,$A$2),"",IF(AND($A$12,$A$6=1,B301&lt;$A$7,$A$7&lt;=MAX(DemoHistory[Date])),$A$8,1))</f>
        <v/>
      </c>
      <c r="E301" s="166" t="str">
        <f t="shared" ref="E301:E364" si="12">IF($A301&gt;MIN($A$10,$A$2),"",IF(H301="OK",C301/D301,"n.a."))</f>
        <v/>
      </c>
      <c r="F301" s="166" t="str">
        <f>IF($A301&gt;MIN($A$10,$A$2),"",IF($A301&lt;50,"n.a.",IF(COUNT(INDEX(StockDaily[Adjusted close],MAX(1,$A301-50+1)):E301)=50,AVERAGE(INDEX(StockDaily[Adjusted close],MAX(1,$A301-50+1)):E301),"n.a.")))</f>
        <v/>
      </c>
      <c r="G301" s="166" t="str">
        <f>IF($A301&gt;MIN($A$10,$A$2),"",IF($A301&lt;200,"n.a.",IF(COUNT(INDEX(StockDaily[Adjusted close],MAX(1,$A301-200+1)):E301)=200,AVERAGE(INDEX(StockDaily[Adjusted close],MAX(1,$A301-200+1)):E301),"n.a.")))</f>
        <v/>
      </c>
      <c r="H301" s="136" t="str">
        <f>IF($A301&gt;MIN($A$10,$A$2),"",IF($A$5="","Choose stock",IF(NOT($A$12),"Check split rule",IF(NOT(ISNUMBER(B301)),"Invalid date",IF(OR(B301&lt;=0,B301&lt;&gt;INT(B301)),"Invalid date",IF(COUNTIFS(DemoHistory[Date],B301)&lt;&gt;1,"Duplicate date",IF(AND($A301&gt;1,B301&lt;=B300),"Dates out of order",IF(NOT(ISNUMBER(C301)),"Missing price",IF(C301&lt;=0,"Nonpositive price","OK")))))))))</f>
        <v/>
      </c>
      <c r="I301" s="136"/>
      <c r="J301" s="136"/>
      <c r="K301" s="136"/>
      <c r="L301" s="136"/>
      <c r="M301" s="136"/>
      <c r="N301" s="136" t="e">
        <f t="shared" ref="N301:N364" si="13">IF(AND($A$13="Ready",ISNUMBER(E301)),E301,NA())</f>
        <v>#N/A</v>
      </c>
      <c r="O301" s="136" t="e">
        <f t="shared" ref="O301:O364" si="14">IF(AND($A$13="Ready",ISNUMBER(F301)),F301,NA())</f>
        <v>#N/A</v>
      </c>
    </row>
    <row r="302" spans="1:15" ht="22.05" customHeight="1" x14ac:dyDescent="0.3">
      <c r="A302" s="136">
        <v>258</v>
      </c>
      <c r="B302" s="165" t="str">
        <f>IF($A302&gt;MIN($A$10,$A$2),"",INDEX(DemoHistory[Date],$A302))</f>
        <v/>
      </c>
      <c r="C302" s="166" t="str">
        <f>IF(OR($A302&gt;MIN($A$10,$A$2),$A$5=""),"",INDEX(DemoHistory[],$A302,MATCH($A$5,DemoHistory[#Headers],0)))</f>
        <v/>
      </c>
      <c r="D302" s="166" t="str">
        <f>IF($A302&gt;MIN($A$10,$A$2),"",IF(AND($A$12,$A$6=1,B302&lt;$A$7,$A$7&lt;=MAX(DemoHistory[Date])),$A$8,1))</f>
        <v/>
      </c>
      <c r="E302" s="166" t="str">
        <f t="shared" si="12"/>
        <v/>
      </c>
      <c r="F302" s="166" t="str">
        <f>IF($A302&gt;MIN($A$10,$A$2),"",IF($A302&lt;50,"n.a.",IF(COUNT(INDEX(StockDaily[Adjusted close],MAX(1,$A302-50+1)):E302)=50,AVERAGE(INDEX(StockDaily[Adjusted close],MAX(1,$A302-50+1)):E302),"n.a.")))</f>
        <v/>
      </c>
      <c r="G302" s="166" t="str">
        <f>IF($A302&gt;MIN($A$10,$A$2),"",IF($A302&lt;200,"n.a.",IF(COUNT(INDEX(StockDaily[Adjusted close],MAX(1,$A302-200+1)):E302)=200,AVERAGE(INDEX(StockDaily[Adjusted close],MAX(1,$A302-200+1)):E302),"n.a.")))</f>
        <v/>
      </c>
      <c r="H302" s="136" t="str">
        <f>IF($A302&gt;MIN($A$10,$A$2),"",IF($A$5="","Choose stock",IF(NOT($A$12),"Check split rule",IF(NOT(ISNUMBER(B302)),"Invalid date",IF(OR(B302&lt;=0,B302&lt;&gt;INT(B302)),"Invalid date",IF(COUNTIFS(DemoHistory[Date],B302)&lt;&gt;1,"Duplicate date",IF(AND($A302&gt;1,B302&lt;=B301),"Dates out of order",IF(NOT(ISNUMBER(C302)),"Missing price",IF(C302&lt;=0,"Nonpositive price","OK")))))))))</f>
        <v/>
      </c>
      <c r="I302" s="136"/>
      <c r="J302" s="136"/>
      <c r="K302" s="136"/>
      <c r="L302" s="136"/>
      <c r="M302" s="136"/>
      <c r="N302" s="136" t="e">
        <f t="shared" si="13"/>
        <v>#N/A</v>
      </c>
      <c r="O302" s="136" t="e">
        <f t="shared" si="14"/>
        <v>#N/A</v>
      </c>
    </row>
    <row r="303" spans="1:15" ht="22.05" customHeight="1" x14ac:dyDescent="0.3">
      <c r="A303" s="136">
        <v>259</v>
      </c>
      <c r="B303" s="165" t="str">
        <f>IF($A303&gt;MIN($A$10,$A$2),"",INDEX(DemoHistory[Date],$A303))</f>
        <v/>
      </c>
      <c r="C303" s="166" t="str">
        <f>IF(OR($A303&gt;MIN($A$10,$A$2),$A$5=""),"",INDEX(DemoHistory[],$A303,MATCH($A$5,DemoHistory[#Headers],0)))</f>
        <v/>
      </c>
      <c r="D303" s="166" t="str">
        <f>IF($A303&gt;MIN($A$10,$A$2),"",IF(AND($A$12,$A$6=1,B303&lt;$A$7,$A$7&lt;=MAX(DemoHistory[Date])),$A$8,1))</f>
        <v/>
      </c>
      <c r="E303" s="166" t="str">
        <f t="shared" si="12"/>
        <v/>
      </c>
      <c r="F303" s="166" t="str">
        <f>IF($A303&gt;MIN($A$10,$A$2),"",IF($A303&lt;50,"n.a.",IF(COUNT(INDEX(StockDaily[Adjusted close],MAX(1,$A303-50+1)):E303)=50,AVERAGE(INDEX(StockDaily[Adjusted close],MAX(1,$A303-50+1)):E303),"n.a.")))</f>
        <v/>
      </c>
      <c r="G303" s="166" t="str">
        <f>IF($A303&gt;MIN($A$10,$A$2),"",IF($A303&lt;200,"n.a.",IF(COUNT(INDEX(StockDaily[Adjusted close],MAX(1,$A303-200+1)):E303)=200,AVERAGE(INDEX(StockDaily[Adjusted close],MAX(1,$A303-200+1)):E303),"n.a.")))</f>
        <v/>
      </c>
      <c r="H303" s="136" t="str">
        <f>IF($A303&gt;MIN($A$10,$A$2),"",IF($A$5="","Choose stock",IF(NOT($A$12),"Check split rule",IF(NOT(ISNUMBER(B303)),"Invalid date",IF(OR(B303&lt;=0,B303&lt;&gt;INT(B303)),"Invalid date",IF(COUNTIFS(DemoHistory[Date],B303)&lt;&gt;1,"Duplicate date",IF(AND($A303&gt;1,B303&lt;=B302),"Dates out of order",IF(NOT(ISNUMBER(C303)),"Missing price",IF(C303&lt;=0,"Nonpositive price","OK")))))))))</f>
        <v/>
      </c>
      <c r="I303" s="136"/>
      <c r="J303" s="136"/>
      <c r="K303" s="136"/>
      <c r="L303" s="136"/>
      <c r="M303" s="136"/>
      <c r="N303" s="136" t="e">
        <f t="shared" si="13"/>
        <v>#N/A</v>
      </c>
      <c r="O303" s="136" t="e">
        <f t="shared" si="14"/>
        <v>#N/A</v>
      </c>
    </row>
    <row r="304" spans="1:15" ht="22.05" customHeight="1" x14ac:dyDescent="0.3">
      <c r="A304" s="136">
        <v>260</v>
      </c>
      <c r="B304" s="165" t="str">
        <f>IF($A304&gt;MIN($A$10,$A$2),"",INDEX(DemoHistory[Date],$A304))</f>
        <v/>
      </c>
      <c r="C304" s="166" t="str">
        <f>IF(OR($A304&gt;MIN($A$10,$A$2),$A$5=""),"",INDEX(DemoHistory[],$A304,MATCH($A$5,DemoHistory[#Headers],0)))</f>
        <v/>
      </c>
      <c r="D304" s="166" t="str">
        <f>IF($A304&gt;MIN($A$10,$A$2),"",IF(AND($A$12,$A$6=1,B304&lt;$A$7,$A$7&lt;=MAX(DemoHistory[Date])),$A$8,1))</f>
        <v/>
      </c>
      <c r="E304" s="166" t="str">
        <f t="shared" si="12"/>
        <v/>
      </c>
      <c r="F304" s="166" t="str">
        <f>IF($A304&gt;MIN($A$10,$A$2),"",IF($A304&lt;50,"n.a.",IF(COUNT(INDEX(StockDaily[Adjusted close],MAX(1,$A304-50+1)):E304)=50,AVERAGE(INDEX(StockDaily[Adjusted close],MAX(1,$A304-50+1)):E304),"n.a.")))</f>
        <v/>
      </c>
      <c r="G304" s="166" t="str">
        <f>IF($A304&gt;MIN($A$10,$A$2),"",IF($A304&lt;200,"n.a.",IF(COUNT(INDEX(StockDaily[Adjusted close],MAX(1,$A304-200+1)):E304)=200,AVERAGE(INDEX(StockDaily[Adjusted close],MAX(1,$A304-200+1)):E304),"n.a.")))</f>
        <v/>
      </c>
      <c r="H304" s="136" t="str">
        <f>IF($A304&gt;MIN($A$10,$A$2),"",IF($A$5="","Choose stock",IF(NOT($A$12),"Check split rule",IF(NOT(ISNUMBER(B304)),"Invalid date",IF(OR(B304&lt;=0,B304&lt;&gt;INT(B304)),"Invalid date",IF(COUNTIFS(DemoHistory[Date],B304)&lt;&gt;1,"Duplicate date",IF(AND($A304&gt;1,B304&lt;=B303),"Dates out of order",IF(NOT(ISNUMBER(C304)),"Missing price",IF(C304&lt;=0,"Nonpositive price","OK")))))))))</f>
        <v/>
      </c>
      <c r="I304" s="136"/>
      <c r="J304" s="136"/>
      <c r="K304" s="136"/>
      <c r="L304" s="136"/>
      <c r="M304" s="136"/>
      <c r="N304" s="136" t="e">
        <f t="shared" si="13"/>
        <v>#N/A</v>
      </c>
      <c r="O304" s="136" t="e">
        <f t="shared" si="14"/>
        <v>#N/A</v>
      </c>
    </row>
    <row r="305" spans="1:15" ht="22.05" customHeight="1" x14ac:dyDescent="0.3">
      <c r="A305" s="136">
        <v>261</v>
      </c>
      <c r="B305" s="165" t="str">
        <f>IF($A305&gt;MIN($A$10,$A$2),"",INDEX(DemoHistory[Date],$A305))</f>
        <v/>
      </c>
      <c r="C305" s="166" t="str">
        <f>IF(OR($A305&gt;MIN($A$10,$A$2),$A$5=""),"",INDEX(DemoHistory[],$A305,MATCH($A$5,DemoHistory[#Headers],0)))</f>
        <v/>
      </c>
      <c r="D305" s="166" t="str">
        <f>IF($A305&gt;MIN($A$10,$A$2),"",IF(AND($A$12,$A$6=1,B305&lt;$A$7,$A$7&lt;=MAX(DemoHistory[Date])),$A$8,1))</f>
        <v/>
      </c>
      <c r="E305" s="166" t="str">
        <f t="shared" si="12"/>
        <v/>
      </c>
      <c r="F305" s="166" t="str">
        <f>IF($A305&gt;MIN($A$10,$A$2),"",IF($A305&lt;50,"n.a.",IF(COUNT(INDEX(StockDaily[Adjusted close],MAX(1,$A305-50+1)):E305)=50,AVERAGE(INDEX(StockDaily[Adjusted close],MAX(1,$A305-50+1)):E305),"n.a.")))</f>
        <v/>
      </c>
      <c r="G305" s="166" t="str">
        <f>IF($A305&gt;MIN($A$10,$A$2),"",IF($A305&lt;200,"n.a.",IF(COUNT(INDEX(StockDaily[Adjusted close],MAX(1,$A305-200+1)):E305)=200,AVERAGE(INDEX(StockDaily[Adjusted close],MAX(1,$A305-200+1)):E305),"n.a.")))</f>
        <v/>
      </c>
      <c r="H305" s="136" t="str">
        <f>IF($A305&gt;MIN($A$10,$A$2),"",IF($A$5="","Choose stock",IF(NOT($A$12),"Check split rule",IF(NOT(ISNUMBER(B305)),"Invalid date",IF(OR(B305&lt;=0,B305&lt;&gt;INT(B305)),"Invalid date",IF(COUNTIFS(DemoHistory[Date],B305)&lt;&gt;1,"Duplicate date",IF(AND($A305&gt;1,B305&lt;=B304),"Dates out of order",IF(NOT(ISNUMBER(C305)),"Missing price",IF(C305&lt;=0,"Nonpositive price","OK")))))))))</f>
        <v/>
      </c>
      <c r="I305" s="136"/>
      <c r="J305" s="136"/>
      <c r="K305" s="136"/>
      <c r="L305" s="136"/>
      <c r="M305" s="136"/>
      <c r="N305" s="136" t="e">
        <f t="shared" si="13"/>
        <v>#N/A</v>
      </c>
      <c r="O305" s="136" t="e">
        <f t="shared" si="14"/>
        <v>#N/A</v>
      </c>
    </row>
    <row r="306" spans="1:15" ht="22.05" customHeight="1" x14ac:dyDescent="0.3">
      <c r="A306" s="136">
        <v>262</v>
      </c>
      <c r="B306" s="165" t="str">
        <f>IF($A306&gt;MIN($A$10,$A$2),"",INDEX(DemoHistory[Date],$A306))</f>
        <v/>
      </c>
      <c r="C306" s="166" t="str">
        <f>IF(OR($A306&gt;MIN($A$10,$A$2),$A$5=""),"",INDEX(DemoHistory[],$A306,MATCH($A$5,DemoHistory[#Headers],0)))</f>
        <v/>
      </c>
      <c r="D306" s="166" t="str">
        <f>IF($A306&gt;MIN($A$10,$A$2),"",IF(AND($A$12,$A$6=1,B306&lt;$A$7,$A$7&lt;=MAX(DemoHistory[Date])),$A$8,1))</f>
        <v/>
      </c>
      <c r="E306" s="166" t="str">
        <f t="shared" si="12"/>
        <v/>
      </c>
      <c r="F306" s="166" t="str">
        <f>IF($A306&gt;MIN($A$10,$A$2),"",IF($A306&lt;50,"n.a.",IF(COUNT(INDEX(StockDaily[Adjusted close],MAX(1,$A306-50+1)):E306)=50,AVERAGE(INDEX(StockDaily[Adjusted close],MAX(1,$A306-50+1)):E306),"n.a.")))</f>
        <v/>
      </c>
      <c r="G306" s="166" t="str">
        <f>IF($A306&gt;MIN($A$10,$A$2),"",IF($A306&lt;200,"n.a.",IF(COUNT(INDEX(StockDaily[Adjusted close],MAX(1,$A306-200+1)):E306)=200,AVERAGE(INDEX(StockDaily[Adjusted close],MAX(1,$A306-200+1)):E306),"n.a.")))</f>
        <v/>
      </c>
      <c r="H306" s="136" t="str">
        <f>IF($A306&gt;MIN($A$10,$A$2),"",IF($A$5="","Choose stock",IF(NOT($A$12),"Check split rule",IF(NOT(ISNUMBER(B306)),"Invalid date",IF(OR(B306&lt;=0,B306&lt;&gt;INT(B306)),"Invalid date",IF(COUNTIFS(DemoHistory[Date],B306)&lt;&gt;1,"Duplicate date",IF(AND($A306&gt;1,B306&lt;=B305),"Dates out of order",IF(NOT(ISNUMBER(C306)),"Missing price",IF(C306&lt;=0,"Nonpositive price","OK")))))))))</f>
        <v/>
      </c>
      <c r="I306" s="136"/>
      <c r="J306" s="136"/>
      <c r="K306" s="136"/>
      <c r="L306" s="136"/>
      <c r="M306" s="136"/>
      <c r="N306" s="136" t="e">
        <f t="shared" si="13"/>
        <v>#N/A</v>
      </c>
      <c r="O306" s="136" t="e">
        <f t="shared" si="14"/>
        <v>#N/A</v>
      </c>
    </row>
    <row r="307" spans="1:15" ht="22.05" customHeight="1" x14ac:dyDescent="0.3">
      <c r="A307" s="136">
        <v>263</v>
      </c>
      <c r="B307" s="165" t="str">
        <f>IF($A307&gt;MIN($A$10,$A$2),"",INDEX(DemoHistory[Date],$A307))</f>
        <v/>
      </c>
      <c r="C307" s="166" t="str">
        <f>IF(OR($A307&gt;MIN($A$10,$A$2),$A$5=""),"",INDEX(DemoHistory[],$A307,MATCH($A$5,DemoHistory[#Headers],0)))</f>
        <v/>
      </c>
      <c r="D307" s="166" t="str">
        <f>IF($A307&gt;MIN($A$10,$A$2),"",IF(AND($A$12,$A$6=1,B307&lt;$A$7,$A$7&lt;=MAX(DemoHistory[Date])),$A$8,1))</f>
        <v/>
      </c>
      <c r="E307" s="166" t="str">
        <f t="shared" si="12"/>
        <v/>
      </c>
      <c r="F307" s="166" t="str">
        <f>IF($A307&gt;MIN($A$10,$A$2),"",IF($A307&lt;50,"n.a.",IF(COUNT(INDEX(StockDaily[Adjusted close],MAX(1,$A307-50+1)):E307)=50,AVERAGE(INDEX(StockDaily[Adjusted close],MAX(1,$A307-50+1)):E307),"n.a.")))</f>
        <v/>
      </c>
      <c r="G307" s="166" t="str">
        <f>IF($A307&gt;MIN($A$10,$A$2),"",IF($A307&lt;200,"n.a.",IF(COUNT(INDEX(StockDaily[Adjusted close],MAX(1,$A307-200+1)):E307)=200,AVERAGE(INDEX(StockDaily[Adjusted close],MAX(1,$A307-200+1)):E307),"n.a.")))</f>
        <v/>
      </c>
      <c r="H307" s="136" t="str">
        <f>IF($A307&gt;MIN($A$10,$A$2),"",IF($A$5="","Choose stock",IF(NOT($A$12),"Check split rule",IF(NOT(ISNUMBER(B307)),"Invalid date",IF(OR(B307&lt;=0,B307&lt;&gt;INT(B307)),"Invalid date",IF(COUNTIFS(DemoHistory[Date],B307)&lt;&gt;1,"Duplicate date",IF(AND($A307&gt;1,B307&lt;=B306),"Dates out of order",IF(NOT(ISNUMBER(C307)),"Missing price",IF(C307&lt;=0,"Nonpositive price","OK")))))))))</f>
        <v/>
      </c>
      <c r="I307" s="136"/>
      <c r="J307" s="136"/>
      <c r="K307" s="136"/>
      <c r="L307" s="136"/>
      <c r="M307" s="136"/>
      <c r="N307" s="136" t="e">
        <f t="shared" si="13"/>
        <v>#N/A</v>
      </c>
      <c r="O307" s="136" t="e">
        <f t="shared" si="14"/>
        <v>#N/A</v>
      </c>
    </row>
    <row r="308" spans="1:15" ht="22.05" customHeight="1" x14ac:dyDescent="0.3">
      <c r="A308" s="136">
        <v>264</v>
      </c>
      <c r="B308" s="165" t="str">
        <f>IF($A308&gt;MIN($A$10,$A$2),"",INDEX(DemoHistory[Date],$A308))</f>
        <v/>
      </c>
      <c r="C308" s="166" t="str">
        <f>IF(OR($A308&gt;MIN($A$10,$A$2),$A$5=""),"",INDEX(DemoHistory[],$A308,MATCH($A$5,DemoHistory[#Headers],0)))</f>
        <v/>
      </c>
      <c r="D308" s="166" t="str">
        <f>IF($A308&gt;MIN($A$10,$A$2),"",IF(AND($A$12,$A$6=1,B308&lt;$A$7,$A$7&lt;=MAX(DemoHistory[Date])),$A$8,1))</f>
        <v/>
      </c>
      <c r="E308" s="166" t="str">
        <f t="shared" si="12"/>
        <v/>
      </c>
      <c r="F308" s="166" t="str">
        <f>IF($A308&gt;MIN($A$10,$A$2),"",IF($A308&lt;50,"n.a.",IF(COUNT(INDEX(StockDaily[Adjusted close],MAX(1,$A308-50+1)):E308)=50,AVERAGE(INDEX(StockDaily[Adjusted close],MAX(1,$A308-50+1)):E308),"n.a.")))</f>
        <v/>
      </c>
      <c r="G308" s="166" t="str">
        <f>IF($A308&gt;MIN($A$10,$A$2),"",IF($A308&lt;200,"n.a.",IF(COUNT(INDEX(StockDaily[Adjusted close],MAX(1,$A308-200+1)):E308)=200,AVERAGE(INDEX(StockDaily[Adjusted close],MAX(1,$A308-200+1)):E308),"n.a.")))</f>
        <v/>
      </c>
      <c r="H308" s="136" t="str">
        <f>IF($A308&gt;MIN($A$10,$A$2),"",IF($A$5="","Choose stock",IF(NOT($A$12),"Check split rule",IF(NOT(ISNUMBER(B308)),"Invalid date",IF(OR(B308&lt;=0,B308&lt;&gt;INT(B308)),"Invalid date",IF(COUNTIFS(DemoHistory[Date],B308)&lt;&gt;1,"Duplicate date",IF(AND($A308&gt;1,B308&lt;=B307),"Dates out of order",IF(NOT(ISNUMBER(C308)),"Missing price",IF(C308&lt;=0,"Nonpositive price","OK")))))))))</f>
        <v/>
      </c>
      <c r="I308" s="136"/>
      <c r="J308" s="136"/>
      <c r="K308" s="136"/>
      <c r="L308" s="136"/>
      <c r="M308" s="136"/>
      <c r="N308" s="136" t="e">
        <f t="shared" si="13"/>
        <v>#N/A</v>
      </c>
      <c r="O308" s="136" t="e">
        <f t="shared" si="14"/>
        <v>#N/A</v>
      </c>
    </row>
    <row r="309" spans="1:15" ht="22.05" customHeight="1" x14ac:dyDescent="0.3">
      <c r="A309" s="136">
        <v>265</v>
      </c>
      <c r="B309" s="165" t="str">
        <f>IF($A309&gt;MIN($A$10,$A$2),"",INDEX(DemoHistory[Date],$A309))</f>
        <v/>
      </c>
      <c r="C309" s="166" t="str">
        <f>IF(OR($A309&gt;MIN($A$10,$A$2),$A$5=""),"",INDEX(DemoHistory[],$A309,MATCH($A$5,DemoHistory[#Headers],0)))</f>
        <v/>
      </c>
      <c r="D309" s="166" t="str">
        <f>IF($A309&gt;MIN($A$10,$A$2),"",IF(AND($A$12,$A$6=1,B309&lt;$A$7,$A$7&lt;=MAX(DemoHistory[Date])),$A$8,1))</f>
        <v/>
      </c>
      <c r="E309" s="166" t="str">
        <f t="shared" si="12"/>
        <v/>
      </c>
      <c r="F309" s="166" t="str">
        <f>IF($A309&gt;MIN($A$10,$A$2),"",IF($A309&lt;50,"n.a.",IF(COUNT(INDEX(StockDaily[Adjusted close],MAX(1,$A309-50+1)):E309)=50,AVERAGE(INDEX(StockDaily[Adjusted close],MAX(1,$A309-50+1)):E309),"n.a.")))</f>
        <v/>
      </c>
      <c r="G309" s="166" t="str">
        <f>IF($A309&gt;MIN($A$10,$A$2),"",IF($A309&lt;200,"n.a.",IF(COUNT(INDEX(StockDaily[Adjusted close],MAX(1,$A309-200+1)):E309)=200,AVERAGE(INDEX(StockDaily[Adjusted close],MAX(1,$A309-200+1)):E309),"n.a.")))</f>
        <v/>
      </c>
      <c r="H309" s="136" t="str">
        <f>IF($A309&gt;MIN($A$10,$A$2),"",IF($A$5="","Choose stock",IF(NOT($A$12),"Check split rule",IF(NOT(ISNUMBER(B309)),"Invalid date",IF(OR(B309&lt;=0,B309&lt;&gt;INT(B309)),"Invalid date",IF(COUNTIFS(DemoHistory[Date],B309)&lt;&gt;1,"Duplicate date",IF(AND($A309&gt;1,B309&lt;=B308),"Dates out of order",IF(NOT(ISNUMBER(C309)),"Missing price",IF(C309&lt;=0,"Nonpositive price","OK")))))))))</f>
        <v/>
      </c>
      <c r="I309" s="136"/>
      <c r="J309" s="136"/>
      <c r="K309" s="136"/>
      <c r="L309" s="136"/>
      <c r="M309" s="136"/>
      <c r="N309" s="136" t="e">
        <f t="shared" si="13"/>
        <v>#N/A</v>
      </c>
      <c r="O309" s="136" t="e">
        <f t="shared" si="14"/>
        <v>#N/A</v>
      </c>
    </row>
    <row r="310" spans="1:15" ht="22.05" customHeight="1" x14ac:dyDescent="0.3">
      <c r="A310" s="136">
        <v>266</v>
      </c>
      <c r="B310" s="165" t="str">
        <f>IF($A310&gt;MIN($A$10,$A$2),"",INDEX(DemoHistory[Date],$A310))</f>
        <v/>
      </c>
      <c r="C310" s="166" t="str">
        <f>IF(OR($A310&gt;MIN($A$10,$A$2),$A$5=""),"",INDEX(DemoHistory[],$A310,MATCH($A$5,DemoHistory[#Headers],0)))</f>
        <v/>
      </c>
      <c r="D310" s="166" t="str">
        <f>IF($A310&gt;MIN($A$10,$A$2),"",IF(AND($A$12,$A$6=1,B310&lt;$A$7,$A$7&lt;=MAX(DemoHistory[Date])),$A$8,1))</f>
        <v/>
      </c>
      <c r="E310" s="166" t="str">
        <f t="shared" si="12"/>
        <v/>
      </c>
      <c r="F310" s="166" t="str">
        <f>IF($A310&gt;MIN($A$10,$A$2),"",IF($A310&lt;50,"n.a.",IF(COUNT(INDEX(StockDaily[Adjusted close],MAX(1,$A310-50+1)):E310)=50,AVERAGE(INDEX(StockDaily[Adjusted close],MAX(1,$A310-50+1)):E310),"n.a.")))</f>
        <v/>
      </c>
      <c r="G310" s="166" t="str">
        <f>IF($A310&gt;MIN($A$10,$A$2),"",IF($A310&lt;200,"n.a.",IF(COUNT(INDEX(StockDaily[Adjusted close],MAX(1,$A310-200+1)):E310)=200,AVERAGE(INDEX(StockDaily[Adjusted close],MAX(1,$A310-200+1)):E310),"n.a.")))</f>
        <v/>
      </c>
      <c r="H310" s="136" t="str">
        <f>IF($A310&gt;MIN($A$10,$A$2),"",IF($A$5="","Choose stock",IF(NOT($A$12),"Check split rule",IF(NOT(ISNUMBER(B310)),"Invalid date",IF(OR(B310&lt;=0,B310&lt;&gt;INT(B310)),"Invalid date",IF(COUNTIFS(DemoHistory[Date],B310)&lt;&gt;1,"Duplicate date",IF(AND($A310&gt;1,B310&lt;=B309),"Dates out of order",IF(NOT(ISNUMBER(C310)),"Missing price",IF(C310&lt;=0,"Nonpositive price","OK")))))))))</f>
        <v/>
      </c>
      <c r="I310" s="136"/>
      <c r="J310" s="136"/>
      <c r="K310" s="136"/>
      <c r="L310" s="136"/>
      <c r="M310" s="136"/>
      <c r="N310" s="136" t="e">
        <f t="shared" si="13"/>
        <v>#N/A</v>
      </c>
      <c r="O310" s="136" t="e">
        <f t="shared" si="14"/>
        <v>#N/A</v>
      </c>
    </row>
    <row r="311" spans="1:15" ht="22.05" customHeight="1" x14ac:dyDescent="0.3">
      <c r="A311" s="136">
        <v>267</v>
      </c>
      <c r="B311" s="165" t="str">
        <f>IF($A311&gt;MIN($A$10,$A$2),"",INDEX(DemoHistory[Date],$A311))</f>
        <v/>
      </c>
      <c r="C311" s="166" t="str">
        <f>IF(OR($A311&gt;MIN($A$10,$A$2),$A$5=""),"",INDEX(DemoHistory[],$A311,MATCH($A$5,DemoHistory[#Headers],0)))</f>
        <v/>
      </c>
      <c r="D311" s="166" t="str">
        <f>IF($A311&gt;MIN($A$10,$A$2),"",IF(AND($A$12,$A$6=1,B311&lt;$A$7,$A$7&lt;=MAX(DemoHistory[Date])),$A$8,1))</f>
        <v/>
      </c>
      <c r="E311" s="166" t="str">
        <f t="shared" si="12"/>
        <v/>
      </c>
      <c r="F311" s="166" t="str">
        <f>IF($A311&gt;MIN($A$10,$A$2),"",IF($A311&lt;50,"n.a.",IF(COUNT(INDEX(StockDaily[Adjusted close],MAX(1,$A311-50+1)):E311)=50,AVERAGE(INDEX(StockDaily[Adjusted close],MAX(1,$A311-50+1)):E311),"n.a.")))</f>
        <v/>
      </c>
      <c r="G311" s="166" t="str">
        <f>IF($A311&gt;MIN($A$10,$A$2),"",IF($A311&lt;200,"n.a.",IF(COUNT(INDEX(StockDaily[Adjusted close],MAX(1,$A311-200+1)):E311)=200,AVERAGE(INDEX(StockDaily[Adjusted close],MAX(1,$A311-200+1)):E311),"n.a.")))</f>
        <v/>
      </c>
      <c r="H311" s="136" t="str">
        <f>IF($A311&gt;MIN($A$10,$A$2),"",IF($A$5="","Choose stock",IF(NOT($A$12),"Check split rule",IF(NOT(ISNUMBER(B311)),"Invalid date",IF(OR(B311&lt;=0,B311&lt;&gt;INT(B311)),"Invalid date",IF(COUNTIFS(DemoHistory[Date],B311)&lt;&gt;1,"Duplicate date",IF(AND($A311&gt;1,B311&lt;=B310),"Dates out of order",IF(NOT(ISNUMBER(C311)),"Missing price",IF(C311&lt;=0,"Nonpositive price","OK")))))))))</f>
        <v/>
      </c>
      <c r="I311" s="136"/>
      <c r="J311" s="136"/>
      <c r="K311" s="136"/>
      <c r="L311" s="136"/>
      <c r="M311" s="136"/>
      <c r="N311" s="136" t="e">
        <f t="shared" si="13"/>
        <v>#N/A</v>
      </c>
      <c r="O311" s="136" t="e">
        <f t="shared" si="14"/>
        <v>#N/A</v>
      </c>
    </row>
    <row r="312" spans="1:15" ht="22.05" customHeight="1" x14ac:dyDescent="0.3">
      <c r="A312" s="136">
        <v>268</v>
      </c>
      <c r="B312" s="165" t="str">
        <f>IF($A312&gt;MIN($A$10,$A$2),"",INDEX(DemoHistory[Date],$A312))</f>
        <v/>
      </c>
      <c r="C312" s="166" t="str">
        <f>IF(OR($A312&gt;MIN($A$10,$A$2),$A$5=""),"",INDEX(DemoHistory[],$A312,MATCH($A$5,DemoHistory[#Headers],0)))</f>
        <v/>
      </c>
      <c r="D312" s="166" t="str">
        <f>IF($A312&gt;MIN($A$10,$A$2),"",IF(AND($A$12,$A$6=1,B312&lt;$A$7,$A$7&lt;=MAX(DemoHistory[Date])),$A$8,1))</f>
        <v/>
      </c>
      <c r="E312" s="166" t="str">
        <f t="shared" si="12"/>
        <v/>
      </c>
      <c r="F312" s="166" t="str">
        <f>IF($A312&gt;MIN($A$10,$A$2),"",IF($A312&lt;50,"n.a.",IF(COUNT(INDEX(StockDaily[Adjusted close],MAX(1,$A312-50+1)):E312)=50,AVERAGE(INDEX(StockDaily[Adjusted close],MAX(1,$A312-50+1)):E312),"n.a.")))</f>
        <v/>
      </c>
      <c r="G312" s="166" t="str">
        <f>IF($A312&gt;MIN($A$10,$A$2),"",IF($A312&lt;200,"n.a.",IF(COUNT(INDEX(StockDaily[Adjusted close],MAX(1,$A312-200+1)):E312)=200,AVERAGE(INDEX(StockDaily[Adjusted close],MAX(1,$A312-200+1)):E312),"n.a.")))</f>
        <v/>
      </c>
      <c r="H312" s="136" t="str">
        <f>IF($A312&gt;MIN($A$10,$A$2),"",IF($A$5="","Choose stock",IF(NOT($A$12),"Check split rule",IF(NOT(ISNUMBER(B312)),"Invalid date",IF(OR(B312&lt;=0,B312&lt;&gt;INT(B312)),"Invalid date",IF(COUNTIFS(DemoHistory[Date],B312)&lt;&gt;1,"Duplicate date",IF(AND($A312&gt;1,B312&lt;=B311),"Dates out of order",IF(NOT(ISNUMBER(C312)),"Missing price",IF(C312&lt;=0,"Nonpositive price","OK")))))))))</f>
        <v/>
      </c>
      <c r="I312" s="136"/>
      <c r="J312" s="136"/>
      <c r="K312" s="136"/>
      <c r="L312" s="136"/>
      <c r="M312" s="136"/>
      <c r="N312" s="136" t="e">
        <f t="shared" si="13"/>
        <v>#N/A</v>
      </c>
      <c r="O312" s="136" t="e">
        <f t="shared" si="14"/>
        <v>#N/A</v>
      </c>
    </row>
    <row r="313" spans="1:15" ht="22.05" customHeight="1" x14ac:dyDescent="0.3">
      <c r="A313" s="136">
        <v>269</v>
      </c>
      <c r="B313" s="165" t="str">
        <f>IF($A313&gt;MIN($A$10,$A$2),"",INDEX(DemoHistory[Date],$A313))</f>
        <v/>
      </c>
      <c r="C313" s="166" t="str">
        <f>IF(OR($A313&gt;MIN($A$10,$A$2),$A$5=""),"",INDEX(DemoHistory[],$A313,MATCH($A$5,DemoHistory[#Headers],0)))</f>
        <v/>
      </c>
      <c r="D313" s="166" t="str">
        <f>IF($A313&gt;MIN($A$10,$A$2),"",IF(AND($A$12,$A$6=1,B313&lt;$A$7,$A$7&lt;=MAX(DemoHistory[Date])),$A$8,1))</f>
        <v/>
      </c>
      <c r="E313" s="166" t="str">
        <f t="shared" si="12"/>
        <v/>
      </c>
      <c r="F313" s="166" t="str">
        <f>IF($A313&gt;MIN($A$10,$A$2),"",IF($A313&lt;50,"n.a.",IF(COUNT(INDEX(StockDaily[Adjusted close],MAX(1,$A313-50+1)):E313)=50,AVERAGE(INDEX(StockDaily[Adjusted close],MAX(1,$A313-50+1)):E313),"n.a.")))</f>
        <v/>
      </c>
      <c r="G313" s="166" t="str">
        <f>IF($A313&gt;MIN($A$10,$A$2),"",IF($A313&lt;200,"n.a.",IF(COUNT(INDEX(StockDaily[Adjusted close],MAX(1,$A313-200+1)):E313)=200,AVERAGE(INDEX(StockDaily[Adjusted close],MAX(1,$A313-200+1)):E313),"n.a.")))</f>
        <v/>
      </c>
      <c r="H313" s="136" t="str">
        <f>IF($A313&gt;MIN($A$10,$A$2),"",IF($A$5="","Choose stock",IF(NOT($A$12),"Check split rule",IF(NOT(ISNUMBER(B313)),"Invalid date",IF(OR(B313&lt;=0,B313&lt;&gt;INT(B313)),"Invalid date",IF(COUNTIFS(DemoHistory[Date],B313)&lt;&gt;1,"Duplicate date",IF(AND($A313&gt;1,B313&lt;=B312),"Dates out of order",IF(NOT(ISNUMBER(C313)),"Missing price",IF(C313&lt;=0,"Nonpositive price","OK")))))))))</f>
        <v/>
      </c>
      <c r="I313" s="136"/>
      <c r="J313" s="136"/>
      <c r="K313" s="136"/>
      <c r="L313" s="136"/>
      <c r="M313" s="136"/>
      <c r="N313" s="136" t="e">
        <f t="shared" si="13"/>
        <v>#N/A</v>
      </c>
      <c r="O313" s="136" t="e">
        <f t="shared" si="14"/>
        <v>#N/A</v>
      </c>
    </row>
    <row r="314" spans="1:15" ht="22.05" customHeight="1" x14ac:dyDescent="0.3">
      <c r="A314" s="136">
        <v>270</v>
      </c>
      <c r="B314" s="165" t="str">
        <f>IF($A314&gt;MIN($A$10,$A$2),"",INDEX(DemoHistory[Date],$A314))</f>
        <v/>
      </c>
      <c r="C314" s="166" t="str">
        <f>IF(OR($A314&gt;MIN($A$10,$A$2),$A$5=""),"",INDEX(DemoHistory[],$A314,MATCH($A$5,DemoHistory[#Headers],0)))</f>
        <v/>
      </c>
      <c r="D314" s="166" t="str">
        <f>IF($A314&gt;MIN($A$10,$A$2),"",IF(AND($A$12,$A$6=1,B314&lt;$A$7,$A$7&lt;=MAX(DemoHistory[Date])),$A$8,1))</f>
        <v/>
      </c>
      <c r="E314" s="166" t="str">
        <f t="shared" si="12"/>
        <v/>
      </c>
      <c r="F314" s="166" t="str">
        <f>IF($A314&gt;MIN($A$10,$A$2),"",IF($A314&lt;50,"n.a.",IF(COUNT(INDEX(StockDaily[Adjusted close],MAX(1,$A314-50+1)):E314)=50,AVERAGE(INDEX(StockDaily[Adjusted close],MAX(1,$A314-50+1)):E314),"n.a.")))</f>
        <v/>
      </c>
      <c r="G314" s="166" t="str">
        <f>IF($A314&gt;MIN($A$10,$A$2),"",IF($A314&lt;200,"n.a.",IF(COUNT(INDEX(StockDaily[Adjusted close],MAX(1,$A314-200+1)):E314)=200,AVERAGE(INDEX(StockDaily[Adjusted close],MAX(1,$A314-200+1)):E314),"n.a.")))</f>
        <v/>
      </c>
      <c r="H314" s="136" t="str">
        <f>IF($A314&gt;MIN($A$10,$A$2),"",IF($A$5="","Choose stock",IF(NOT($A$12),"Check split rule",IF(NOT(ISNUMBER(B314)),"Invalid date",IF(OR(B314&lt;=0,B314&lt;&gt;INT(B314)),"Invalid date",IF(COUNTIFS(DemoHistory[Date],B314)&lt;&gt;1,"Duplicate date",IF(AND($A314&gt;1,B314&lt;=B313),"Dates out of order",IF(NOT(ISNUMBER(C314)),"Missing price",IF(C314&lt;=0,"Nonpositive price","OK")))))))))</f>
        <v/>
      </c>
      <c r="I314" s="136"/>
      <c r="J314" s="136"/>
      <c r="K314" s="136"/>
      <c r="L314" s="136"/>
      <c r="M314" s="136"/>
      <c r="N314" s="136" t="e">
        <f t="shared" si="13"/>
        <v>#N/A</v>
      </c>
      <c r="O314" s="136" t="e">
        <f t="shared" si="14"/>
        <v>#N/A</v>
      </c>
    </row>
    <row r="315" spans="1:15" ht="22.05" customHeight="1" x14ac:dyDescent="0.3">
      <c r="A315" s="136">
        <v>271</v>
      </c>
      <c r="B315" s="165" t="str">
        <f>IF($A315&gt;MIN($A$10,$A$2),"",INDEX(DemoHistory[Date],$A315))</f>
        <v/>
      </c>
      <c r="C315" s="166" t="str">
        <f>IF(OR($A315&gt;MIN($A$10,$A$2),$A$5=""),"",INDEX(DemoHistory[],$A315,MATCH($A$5,DemoHistory[#Headers],0)))</f>
        <v/>
      </c>
      <c r="D315" s="166" t="str">
        <f>IF($A315&gt;MIN($A$10,$A$2),"",IF(AND($A$12,$A$6=1,B315&lt;$A$7,$A$7&lt;=MAX(DemoHistory[Date])),$A$8,1))</f>
        <v/>
      </c>
      <c r="E315" s="166" t="str">
        <f t="shared" si="12"/>
        <v/>
      </c>
      <c r="F315" s="166" t="str">
        <f>IF($A315&gt;MIN($A$10,$A$2),"",IF($A315&lt;50,"n.a.",IF(COUNT(INDEX(StockDaily[Adjusted close],MAX(1,$A315-50+1)):E315)=50,AVERAGE(INDEX(StockDaily[Adjusted close],MAX(1,$A315-50+1)):E315),"n.a.")))</f>
        <v/>
      </c>
      <c r="G315" s="166" t="str">
        <f>IF($A315&gt;MIN($A$10,$A$2),"",IF($A315&lt;200,"n.a.",IF(COUNT(INDEX(StockDaily[Adjusted close],MAX(1,$A315-200+1)):E315)=200,AVERAGE(INDEX(StockDaily[Adjusted close],MAX(1,$A315-200+1)):E315),"n.a.")))</f>
        <v/>
      </c>
      <c r="H315" s="136" t="str">
        <f>IF($A315&gt;MIN($A$10,$A$2),"",IF($A$5="","Choose stock",IF(NOT($A$12),"Check split rule",IF(NOT(ISNUMBER(B315)),"Invalid date",IF(OR(B315&lt;=0,B315&lt;&gt;INT(B315)),"Invalid date",IF(COUNTIFS(DemoHistory[Date],B315)&lt;&gt;1,"Duplicate date",IF(AND($A315&gt;1,B315&lt;=B314),"Dates out of order",IF(NOT(ISNUMBER(C315)),"Missing price",IF(C315&lt;=0,"Nonpositive price","OK")))))))))</f>
        <v/>
      </c>
      <c r="I315" s="136"/>
      <c r="J315" s="136"/>
      <c r="K315" s="136"/>
      <c r="L315" s="136"/>
      <c r="M315" s="136"/>
      <c r="N315" s="136" t="e">
        <f t="shared" si="13"/>
        <v>#N/A</v>
      </c>
      <c r="O315" s="136" t="e">
        <f t="shared" si="14"/>
        <v>#N/A</v>
      </c>
    </row>
    <row r="316" spans="1:15" ht="22.05" customHeight="1" x14ac:dyDescent="0.3">
      <c r="A316" s="136">
        <v>272</v>
      </c>
      <c r="B316" s="165" t="str">
        <f>IF($A316&gt;MIN($A$10,$A$2),"",INDEX(DemoHistory[Date],$A316))</f>
        <v/>
      </c>
      <c r="C316" s="166" t="str">
        <f>IF(OR($A316&gt;MIN($A$10,$A$2),$A$5=""),"",INDEX(DemoHistory[],$A316,MATCH($A$5,DemoHistory[#Headers],0)))</f>
        <v/>
      </c>
      <c r="D316" s="166" t="str">
        <f>IF($A316&gt;MIN($A$10,$A$2),"",IF(AND($A$12,$A$6=1,B316&lt;$A$7,$A$7&lt;=MAX(DemoHistory[Date])),$A$8,1))</f>
        <v/>
      </c>
      <c r="E316" s="166" t="str">
        <f t="shared" si="12"/>
        <v/>
      </c>
      <c r="F316" s="166" t="str">
        <f>IF($A316&gt;MIN($A$10,$A$2),"",IF($A316&lt;50,"n.a.",IF(COUNT(INDEX(StockDaily[Adjusted close],MAX(1,$A316-50+1)):E316)=50,AVERAGE(INDEX(StockDaily[Adjusted close],MAX(1,$A316-50+1)):E316),"n.a.")))</f>
        <v/>
      </c>
      <c r="G316" s="166" t="str">
        <f>IF($A316&gt;MIN($A$10,$A$2),"",IF($A316&lt;200,"n.a.",IF(COUNT(INDEX(StockDaily[Adjusted close],MAX(1,$A316-200+1)):E316)=200,AVERAGE(INDEX(StockDaily[Adjusted close],MAX(1,$A316-200+1)):E316),"n.a.")))</f>
        <v/>
      </c>
      <c r="H316" s="136" t="str">
        <f>IF($A316&gt;MIN($A$10,$A$2),"",IF($A$5="","Choose stock",IF(NOT($A$12),"Check split rule",IF(NOT(ISNUMBER(B316)),"Invalid date",IF(OR(B316&lt;=0,B316&lt;&gt;INT(B316)),"Invalid date",IF(COUNTIFS(DemoHistory[Date],B316)&lt;&gt;1,"Duplicate date",IF(AND($A316&gt;1,B316&lt;=B315),"Dates out of order",IF(NOT(ISNUMBER(C316)),"Missing price",IF(C316&lt;=0,"Nonpositive price","OK")))))))))</f>
        <v/>
      </c>
      <c r="I316" s="136"/>
      <c r="J316" s="136"/>
      <c r="K316" s="136"/>
      <c r="L316" s="136"/>
      <c r="M316" s="136"/>
      <c r="N316" s="136" t="e">
        <f t="shared" si="13"/>
        <v>#N/A</v>
      </c>
      <c r="O316" s="136" t="e">
        <f t="shared" si="14"/>
        <v>#N/A</v>
      </c>
    </row>
    <row r="317" spans="1:15" ht="22.05" customHeight="1" x14ac:dyDescent="0.3">
      <c r="A317" s="136">
        <v>273</v>
      </c>
      <c r="B317" s="165" t="str">
        <f>IF($A317&gt;MIN($A$10,$A$2),"",INDEX(DemoHistory[Date],$A317))</f>
        <v/>
      </c>
      <c r="C317" s="166" t="str">
        <f>IF(OR($A317&gt;MIN($A$10,$A$2),$A$5=""),"",INDEX(DemoHistory[],$A317,MATCH($A$5,DemoHistory[#Headers],0)))</f>
        <v/>
      </c>
      <c r="D317" s="166" t="str">
        <f>IF($A317&gt;MIN($A$10,$A$2),"",IF(AND($A$12,$A$6=1,B317&lt;$A$7,$A$7&lt;=MAX(DemoHistory[Date])),$A$8,1))</f>
        <v/>
      </c>
      <c r="E317" s="166" t="str">
        <f t="shared" si="12"/>
        <v/>
      </c>
      <c r="F317" s="166" t="str">
        <f>IF($A317&gt;MIN($A$10,$A$2),"",IF($A317&lt;50,"n.a.",IF(COUNT(INDEX(StockDaily[Adjusted close],MAX(1,$A317-50+1)):E317)=50,AVERAGE(INDEX(StockDaily[Adjusted close],MAX(1,$A317-50+1)):E317),"n.a.")))</f>
        <v/>
      </c>
      <c r="G317" s="166" t="str">
        <f>IF($A317&gt;MIN($A$10,$A$2),"",IF($A317&lt;200,"n.a.",IF(COUNT(INDEX(StockDaily[Adjusted close],MAX(1,$A317-200+1)):E317)=200,AVERAGE(INDEX(StockDaily[Adjusted close],MAX(1,$A317-200+1)):E317),"n.a.")))</f>
        <v/>
      </c>
      <c r="H317" s="136" t="str">
        <f>IF($A317&gt;MIN($A$10,$A$2),"",IF($A$5="","Choose stock",IF(NOT($A$12),"Check split rule",IF(NOT(ISNUMBER(B317)),"Invalid date",IF(OR(B317&lt;=0,B317&lt;&gt;INT(B317)),"Invalid date",IF(COUNTIFS(DemoHistory[Date],B317)&lt;&gt;1,"Duplicate date",IF(AND($A317&gt;1,B317&lt;=B316),"Dates out of order",IF(NOT(ISNUMBER(C317)),"Missing price",IF(C317&lt;=0,"Nonpositive price","OK")))))))))</f>
        <v/>
      </c>
      <c r="I317" s="136"/>
      <c r="J317" s="136"/>
      <c r="K317" s="136"/>
      <c r="L317" s="136"/>
      <c r="M317" s="136"/>
      <c r="N317" s="136" t="e">
        <f t="shared" si="13"/>
        <v>#N/A</v>
      </c>
      <c r="O317" s="136" t="e">
        <f t="shared" si="14"/>
        <v>#N/A</v>
      </c>
    </row>
    <row r="318" spans="1:15" ht="22.05" customHeight="1" x14ac:dyDescent="0.3">
      <c r="A318" s="136">
        <v>274</v>
      </c>
      <c r="B318" s="165" t="str">
        <f>IF($A318&gt;MIN($A$10,$A$2),"",INDEX(DemoHistory[Date],$A318))</f>
        <v/>
      </c>
      <c r="C318" s="166" t="str">
        <f>IF(OR($A318&gt;MIN($A$10,$A$2),$A$5=""),"",INDEX(DemoHistory[],$A318,MATCH($A$5,DemoHistory[#Headers],0)))</f>
        <v/>
      </c>
      <c r="D318" s="166" t="str">
        <f>IF($A318&gt;MIN($A$10,$A$2),"",IF(AND($A$12,$A$6=1,B318&lt;$A$7,$A$7&lt;=MAX(DemoHistory[Date])),$A$8,1))</f>
        <v/>
      </c>
      <c r="E318" s="166" t="str">
        <f t="shared" si="12"/>
        <v/>
      </c>
      <c r="F318" s="166" t="str">
        <f>IF($A318&gt;MIN($A$10,$A$2),"",IF($A318&lt;50,"n.a.",IF(COUNT(INDEX(StockDaily[Adjusted close],MAX(1,$A318-50+1)):E318)=50,AVERAGE(INDEX(StockDaily[Adjusted close],MAX(1,$A318-50+1)):E318),"n.a.")))</f>
        <v/>
      </c>
      <c r="G318" s="166" t="str">
        <f>IF($A318&gt;MIN($A$10,$A$2),"",IF($A318&lt;200,"n.a.",IF(COUNT(INDEX(StockDaily[Adjusted close],MAX(1,$A318-200+1)):E318)=200,AVERAGE(INDEX(StockDaily[Adjusted close],MAX(1,$A318-200+1)):E318),"n.a.")))</f>
        <v/>
      </c>
      <c r="H318" s="136" t="str">
        <f>IF($A318&gt;MIN($A$10,$A$2),"",IF($A$5="","Choose stock",IF(NOT($A$12),"Check split rule",IF(NOT(ISNUMBER(B318)),"Invalid date",IF(OR(B318&lt;=0,B318&lt;&gt;INT(B318)),"Invalid date",IF(COUNTIFS(DemoHistory[Date],B318)&lt;&gt;1,"Duplicate date",IF(AND($A318&gt;1,B318&lt;=B317),"Dates out of order",IF(NOT(ISNUMBER(C318)),"Missing price",IF(C318&lt;=0,"Nonpositive price","OK")))))))))</f>
        <v/>
      </c>
      <c r="I318" s="136"/>
      <c r="J318" s="136"/>
      <c r="K318" s="136"/>
      <c r="L318" s="136"/>
      <c r="M318" s="136"/>
      <c r="N318" s="136" t="e">
        <f t="shared" si="13"/>
        <v>#N/A</v>
      </c>
      <c r="O318" s="136" t="e">
        <f t="shared" si="14"/>
        <v>#N/A</v>
      </c>
    </row>
    <row r="319" spans="1:15" ht="22.05" customHeight="1" x14ac:dyDescent="0.3">
      <c r="A319" s="136">
        <v>275</v>
      </c>
      <c r="B319" s="165" t="str">
        <f>IF($A319&gt;MIN($A$10,$A$2),"",INDEX(DemoHistory[Date],$A319))</f>
        <v/>
      </c>
      <c r="C319" s="166" t="str">
        <f>IF(OR($A319&gt;MIN($A$10,$A$2),$A$5=""),"",INDEX(DemoHistory[],$A319,MATCH($A$5,DemoHistory[#Headers],0)))</f>
        <v/>
      </c>
      <c r="D319" s="166" t="str">
        <f>IF($A319&gt;MIN($A$10,$A$2),"",IF(AND($A$12,$A$6=1,B319&lt;$A$7,$A$7&lt;=MAX(DemoHistory[Date])),$A$8,1))</f>
        <v/>
      </c>
      <c r="E319" s="166" t="str">
        <f t="shared" si="12"/>
        <v/>
      </c>
      <c r="F319" s="166" t="str">
        <f>IF($A319&gt;MIN($A$10,$A$2),"",IF($A319&lt;50,"n.a.",IF(COUNT(INDEX(StockDaily[Adjusted close],MAX(1,$A319-50+1)):E319)=50,AVERAGE(INDEX(StockDaily[Adjusted close],MAX(1,$A319-50+1)):E319),"n.a.")))</f>
        <v/>
      </c>
      <c r="G319" s="166" t="str">
        <f>IF($A319&gt;MIN($A$10,$A$2),"",IF($A319&lt;200,"n.a.",IF(COUNT(INDEX(StockDaily[Adjusted close],MAX(1,$A319-200+1)):E319)=200,AVERAGE(INDEX(StockDaily[Adjusted close],MAX(1,$A319-200+1)):E319),"n.a.")))</f>
        <v/>
      </c>
      <c r="H319" s="136" t="str">
        <f>IF($A319&gt;MIN($A$10,$A$2),"",IF($A$5="","Choose stock",IF(NOT($A$12),"Check split rule",IF(NOT(ISNUMBER(B319)),"Invalid date",IF(OR(B319&lt;=0,B319&lt;&gt;INT(B319)),"Invalid date",IF(COUNTIFS(DemoHistory[Date],B319)&lt;&gt;1,"Duplicate date",IF(AND($A319&gt;1,B319&lt;=B318),"Dates out of order",IF(NOT(ISNUMBER(C319)),"Missing price",IF(C319&lt;=0,"Nonpositive price","OK")))))))))</f>
        <v/>
      </c>
      <c r="I319" s="136"/>
      <c r="J319" s="136"/>
      <c r="K319" s="136"/>
      <c r="L319" s="136"/>
      <c r="M319" s="136"/>
      <c r="N319" s="136" t="e">
        <f t="shared" si="13"/>
        <v>#N/A</v>
      </c>
      <c r="O319" s="136" t="e">
        <f t="shared" si="14"/>
        <v>#N/A</v>
      </c>
    </row>
    <row r="320" spans="1:15" ht="22.05" customHeight="1" x14ac:dyDescent="0.3">
      <c r="A320" s="136">
        <v>276</v>
      </c>
      <c r="B320" s="165" t="str">
        <f>IF($A320&gt;MIN($A$10,$A$2),"",INDEX(DemoHistory[Date],$A320))</f>
        <v/>
      </c>
      <c r="C320" s="166" t="str">
        <f>IF(OR($A320&gt;MIN($A$10,$A$2),$A$5=""),"",INDEX(DemoHistory[],$A320,MATCH($A$5,DemoHistory[#Headers],0)))</f>
        <v/>
      </c>
      <c r="D320" s="166" t="str">
        <f>IF($A320&gt;MIN($A$10,$A$2),"",IF(AND($A$12,$A$6=1,B320&lt;$A$7,$A$7&lt;=MAX(DemoHistory[Date])),$A$8,1))</f>
        <v/>
      </c>
      <c r="E320" s="166" t="str">
        <f t="shared" si="12"/>
        <v/>
      </c>
      <c r="F320" s="166" t="str">
        <f>IF($A320&gt;MIN($A$10,$A$2),"",IF($A320&lt;50,"n.a.",IF(COUNT(INDEX(StockDaily[Adjusted close],MAX(1,$A320-50+1)):E320)=50,AVERAGE(INDEX(StockDaily[Adjusted close],MAX(1,$A320-50+1)):E320),"n.a.")))</f>
        <v/>
      </c>
      <c r="G320" s="166" t="str">
        <f>IF($A320&gt;MIN($A$10,$A$2),"",IF($A320&lt;200,"n.a.",IF(COUNT(INDEX(StockDaily[Adjusted close],MAX(1,$A320-200+1)):E320)=200,AVERAGE(INDEX(StockDaily[Adjusted close],MAX(1,$A320-200+1)):E320),"n.a.")))</f>
        <v/>
      </c>
      <c r="H320" s="136" t="str">
        <f>IF($A320&gt;MIN($A$10,$A$2),"",IF($A$5="","Choose stock",IF(NOT($A$12),"Check split rule",IF(NOT(ISNUMBER(B320)),"Invalid date",IF(OR(B320&lt;=0,B320&lt;&gt;INT(B320)),"Invalid date",IF(COUNTIFS(DemoHistory[Date],B320)&lt;&gt;1,"Duplicate date",IF(AND($A320&gt;1,B320&lt;=B319),"Dates out of order",IF(NOT(ISNUMBER(C320)),"Missing price",IF(C320&lt;=0,"Nonpositive price","OK")))))))))</f>
        <v/>
      </c>
      <c r="I320" s="136"/>
      <c r="J320" s="136"/>
      <c r="K320" s="136"/>
      <c r="L320" s="136"/>
      <c r="M320" s="136"/>
      <c r="N320" s="136" t="e">
        <f t="shared" si="13"/>
        <v>#N/A</v>
      </c>
      <c r="O320" s="136" t="e">
        <f t="shared" si="14"/>
        <v>#N/A</v>
      </c>
    </row>
    <row r="321" spans="1:15" ht="22.05" customHeight="1" x14ac:dyDescent="0.3">
      <c r="A321" s="136">
        <v>277</v>
      </c>
      <c r="B321" s="165" t="str">
        <f>IF($A321&gt;MIN($A$10,$A$2),"",INDEX(DemoHistory[Date],$A321))</f>
        <v/>
      </c>
      <c r="C321" s="166" t="str">
        <f>IF(OR($A321&gt;MIN($A$10,$A$2),$A$5=""),"",INDEX(DemoHistory[],$A321,MATCH($A$5,DemoHistory[#Headers],0)))</f>
        <v/>
      </c>
      <c r="D321" s="166" t="str">
        <f>IF($A321&gt;MIN($A$10,$A$2),"",IF(AND($A$12,$A$6=1,B321&lt;$A$7,$A$7&lt;=MAX(DemoHistory[Date])),$A$8,1))</f>
        <v/>
      </c>
      <c r="E321" s="166" t="str">
        <f t="shared" si="12"/>
        <v/>
      </c>
      <c r="F321" s="166" t="str">
        <f>IF($A321&gt;MIN($A$10,$A$2),"",IF($A321&lt;50,"n.a.",IF(COUNT(INDEX(StockDaily[Adjusted close],MAX(1,$A321-50+1)):E321)=50,AVERAGE(INDEX(StockDaily[Adjusted close],MAX(1,$A321-50+1)):E321),"n.a.")))</f>
        <v/>
      </c>
      <c r="G321" s="166" t="str">
        <f>IF($A321&gt;MIN($A$10,$A$2),"",IF($A321&lt;200,"n.a.",IF(COUNT(INDEX(StockDaily[Adjusted close],MAX(1,$A321-200+1)):E321)=200,AVERAGE(INDEX(StockDaily[Adjusted close],MAX(1,$A321-200+1)):E321),"n.a.")))</f>
        <v/>
      </c>
      <c r="H321" s="136" t="str">
        <f>IF($A321&gt;MIN($A$10,$A$2),"",IF($A$5="","Choose stock",IF(NOT($A$12),"Check split rule",IF(NOT(ISNUMBER(B321)),"Invalid date",IF(OR(B321&lt;=0,B321&lt;&gt;INT(B321)),"Invalid date",IF(COUNTIFS(DemoHistory[Date],B321)&lt;&gt;1,"Duplicate date",IF(AND($A321&gt;1,B321&lt;=B320),"Dates out of order",IF(NOT(ISNUMBER(C321)),"Missing price",IF(C321&lt;=0,"Nonpositive price","OK")))))))))</f>
        <v/>
      </c>
      <c r="I321" s="136"/>
      <c r="J321" s="136"/>
      <c r="K321" s="136"/>
      <c r="L321" s="136"/>
      <c r="M321" s="136"/>
      <c r="N321" s="136" t="e">
        <f t="shared" si="13"/>
        <v>#N/A</v>
      </c>
      <c r="O321" s="136" t="e">
        <f t="shared" si="14"/>
        <v>#N/A</v>
      </c>
    </row>
    <row r="322" spans="1:15" ht="22.05" customHeight="1" x14ac:dyDescent="0.3">
      <c r="A322" s="136">
        <v>278</v>
      </c>
      <c r="B322" s="165" t="str">
        <f>IF($A322&gt;MIN($A$10,$A$2),"",INDEX(DemoHistory[Date],$A322))</f>
        <v/>
      </c>
      <c r="C322" s="166" t="str">
        <f>IF(OR($A322&gt;MIN($A$10,$A$2),$A$5=""),"",INDEX(DemoHistory[],$A322,MATCH($A$5,DemoHistory[#Headers],0)))</f>
        <v/>
      </c>
      <c r="D322" s="166" t="str">
        <f>IF($A322&gt;MIN($A$10,$A$2),"",IF(AND($A$12,$A$6=1,B322&lt;$A$7,$A$7&lt;=MAX(DemoHistory[Date])),$A$8,1))</f>
        <v/>
      </c>
      <c r="E322" s="166" t="str">
        <f t="shared" si="12"/>
        <v/>
      </c>
      <c r="F322" s="166" t="str">
        <f>IF($A322&gt;MIN($A$10,$A$2),"",IF($A322&lt;50,"n.a.",IF(COUNT(INDEX(StockDaily[Adjusted close],MAX(1,$A322-50+1)):E322)=50,AVERAGE(INDEX(StockDaily[Adjusted close],MAX(1,$A322-50+1)):E322),"n.a.")))</f>
        <v/>
      </c>
      <c r="G322" s="166" t="str">
        <f>IF($A322&gt;MIN($A$10,$A$2),"",IF($A322&lt;200,"n.a.",IF(COUNT(INDEX(StockDaily[Adjusted close],MAX(1,$A322-200+1)):E322)=200,AVERAGE(INDEX(StockDaily[Adjusted close],MAX(1,$A322-200+1)):E322),"n.a.")))</f>
        <v/>
      </c>
      <c r="H322" s="136" t="str">
        <f>IF($A322&gt;MIN($A$10,$A$2),"",IF($A$5="","Choose stock",IF(NOT($A$12),"Check split rule",IF(NOT(ISNUMBER(B322)),"Invalid date",IF(OR(B322&lt;=0,B322&lt;&gt;INT(B322)),"Invalid date",IF(COUNTIFS(DemoHistory[Date],B322)&lt;&gt;1,"Duplicate date",IF(AND($A322&gt;1,B322&lt;=B321),"Dates out of order",IF(NOT(ISNUMBER(C322)),"Missing price",IF(C322&lt;=0,"Nonpositive price","OK")))))))))</f>
        <v/>
      </c>
      <c r="I322" s="136"/>
      <c r="J322" s="136"/>
      <c r="K322" s="136"/>
      <c r="L322" s="136"/>
      <c r="M322" s="136"/>
      <c r="N322" s="136" t="e">
        <f t="shared" si="13"/>
        <v>#N/A</v>
      </c>
      <c r="O322" s="136" t="e">
        <f t="shared" si="14"/>
        <v>#N/A</v>
      </c>
    </row>
    <row r="323" spans="1:15" ht="22.05" customHeight="1" x14ac:dyDescent="0.3">
      <c r="A323" s="136">
        <v>279</v>
      </c>
      <c r="B323" s="165" t="str">
        <f>IF($A323&gt;MIN($A$10,$A$2),"",INDEX(DemoHistory[Date],$A323))</f>
        <v/>
      </c>
      <c r="C323" s="166" t="str">
        <f>IF(OR($A323&gt;MIN($A$10,$A$2),$A$5=""),"",INDEX(DemoHistory[],$A323,MATCH($A$5,DemoHistory[#Headers],0)))</f>
        <v/>
      </c>
      <c r="D323" s="166" t="str">
        <f>IF($A323&gt;MIN($A$10,$A$2),"",IF(AND($A$12,$A$6=1,B323&lt;$A$7,$A$7&lt;=MAX(DemoHistory[Date])),$A$8,1))</f>
        <v/>
      </c>
      <c r="E323" s="166" t="str">
        <f t="shared" si="12"/>
        <v/>
      </c>
      <c r="F323" s="166" t="str">
        <f>IF($A323&gt;MIN($A$10,$A$2),"",IF($A323&lt;50,"n.a.",IF(COUNT(INDEX(StockDaily[Adjusted close],MAX(1,$A323-50+1)):E323)=50,AVERAGE(INDEX(StockDaily[Adjusted close],MAX(1,$A323-50+1)):E323),"n.a.")))</f>
        <v/>
      </c>
      <c r="G323" s="166" t="str">
        <f>IF($A323&gt;MIN($A$10,$A$2),"",IF($A323&lt;200,"n.a.",IF(COUNT(INDEX(StockDaily[Adjusted close],MAX(1,$A323-200+1)):E323)=200,AVERAGE(INDEX(StockDaily[Adjusted close],MAX(1,$A323-200+1)):E323),"n.a.")))</f>
        <v/>
      </c>
      <c r="H323" s="136" t="str">
        <f>IF($A323&gt;MIN($A$10,$A$2),"",IF($A$5="","Choose stock",IF(NOT($A$12),"Check split rule",IF(NOT(ISNUMBER(B323)),"Invalid date",IF(OR(B323&lt;=0,B323&lt;&gt;INT(B323)),"Invalid date",IF(COUNTIFS(DemoHistory[Date],B323)&lt;&gt;1,"Duplicate date",IF(AND($A323&gt;1,B323&lt;=B322),"Dates out of order",IF(NOT(ISNUMBER(C323)),"Missing price",IF(C323&lt;=0,"Nonpositive price","OK")))))))))</f>
        <v/>
      </c>
      <c r="I323" s="136"/>
      <c r="J323" s="136"/>
      <c r="K323" s="136"/>
      <c r="L323" s="136"/>
      <c r="M323" s="136"/>
      <c r="N323" s="136" t="e">
        <f t="shared" si="13"/>
        <v>#N/A</v>
      </c>
      <c r="O323" s="136" t="e">
        <f t="shared" si="14"/>
        <v>#N/A</v>
      </c>
    </row>
    <row r="324" spans="1:15" ht="22.05" customHeight="1" x14ac:dyDescent="0.3">
      <c r="A324" s="136">
        <v>280</v>
      </c>
      <c r="B324" s="165" t="str">
        <f>IF($A324&gt;MIN($A$10,$A$2),"",INDEX(DemoHistory[Date],$A324))</f>
        <v/>
      </c>
      <c r="C324" s="166" t="str">
        <f>IF(OR($A324&gt;MIN($A$10,$A$2),$A$5=""),"",INDEX(DemoHistory[],$A324,MATCH($A$5,DemoHistory[#Headers],0)))</f>
        <v/>
      </c>
      <c r="D324" s="166" t="str">
        <f>IF($A324&gt;MIN($A$10,$A$2),"",IF(AND($A$12,$A$6=1,B324&lt;$A$7,$A$7&lt;=MAX(DemoHistory[Date])),$A$8,1))</f>
        <v/>
      </c>
      <c r="E324" s="166" t="str">
        <f t="shared" si="12"/>
        <v/>
      </c>
      <c r="F324" s="166" t="str">
        <f>IF($A324&gt;MIN($A$10,$A$2),"",IF($A324&lt;50,"n.a.",IF(COUNT(INDEX(StockDaily[Adjusted close],MAX(1,$A324-50+1)):E324)=50,AVERAGE(INDEX(StockDaily[Adjusted close],MAX(1,$A324-50+1)):E324),"n.a.")))</f>
        <v/>
      </c>
      <c r="G324" s="166" t="str">
        <f>IF($A324&gt;MIN($A$10,$A$2),"",IF($A324&lt;200,"n.a.",IF(COUNT(INDEX(StockDaily[Adjusted close],MAX(1,$A324-200+1)):E324)=200,AVERAGE(INDEX(StockDaily[Adjusted close],MAX(1,$A324-200+1)):E324),"n.a.")))</f>
        <v/>
      </c>
      <c r="H324" s="136" t="str">
        <f>IF($A324&gt;MIN($A$10,$A$2),"",IF($A$5="","Choose stock",IF(NOT($A$12),"Check split rule",IF(NOT(ISNUMBER(B324)),"Invalid date",IF(OR(B324&lt;=0,B324&lt;&gt;INT(B324)),"Invalid date",IF(COUNTIFS(DemoHistory[Date],B324)&lt;&gt;1,"Duplicate date",IF(AND($A324&gt;1,B324&lt;=B323),"Dates out of order",IF(NOT(ISNUMBER(C324)),"Missing price",IF(C324&lt;=0,"Nonpositive price","OK")))))))))</f>
        <v/>
      </c>
      <c r="I324" s="136"/>
      <c r="J324" s="136"/>
      <c r="K324" s="136"/>
      <c r="L324" s="136"/>
      <c r="M324" s="136"/>
      <c r="N324" s="136" t="e">
        <f t="shared" si="13"/>
        <v>#N/A</v>
      </c>
      <c r="O324" s="136" t="e">
        <f t="shared" si="14"/>
        <v>#N/A</v>
      </c>
    </row>
    <row r="325" spans="1:15" ht="22.05" customHeight="1" x14ac:dyDescent="0.3">
      <c r="A325" s="136">
        <v>281</v>
      </c>
      <c r="B325" s="165" t="str">
        <f>IF($A325&gt;MIN($A$10,$A$2),"",INDEX(DemoHistory[Date],$A325))</f>
        <v/>
      </c>
      <c r="C325" s="166" t="str">
        <f>IF(OR($A325&gt;MIN($A$10,$A$2),$A$5=""),"",INDEX(DemoHistory[],$A325,MATCH($A$5,DemoHistory[#Headers],0)))</f>
        <v/>
      </c>
      <c r="D325" s="166" t="str">
        <f>IF($A325&gt;MIN($A$10,$A$2),"",IF(AND($A$12,$A$6=1,B325&lt;$A$7,$A$7&lt;=MAX(DemoHistory[Date])),$A$8,1))</f>
        <v/>
      </c>
      <c r="E325" s="166" t="str">
        <f t="shared" si="12"/>
        <v/>
      </c>
      <c r="F325" s="166" t="str">
        <f>IF($A325&gt;MIN($A$10,$A$2),"",IF($A325&lt;50,"n.a.",IF(COUNT(INDEX(StockDaily[Adjusted close],MAX(1,$A325-50+1)):E325)=50,AVERAGE(INDEX(StockDaily[Adjusted close],MAX(1,$A325-50+1)):E325),"n.a.")))</f>
        <v/>
      </c>
      <c r="G325" s="166" t="str">
        <f>IF($A325&gt;MIN($A$10,$A$2),"",IF($A325&lt;200,"n.a.",IF(COUNT(INDEX(StockDaily[Adjusted close],MAX(1,$A325-200+1)):E325)=200,AVERAGE(INDEX(StockDaily[Adjusted close],MAX(1,$A325-200+1)):E325),"n.a.")))</f>
        <v/>
      </c>
      <c r="H325" s="136" t="str">
        <f>IF($A325&gt;MIN($A$10,$A$2),"",IF($A$5="","Choose stock",IF(NOT($A$12),"Check split rule",IF(NOT(ISNUMBER(B325)),"Invalid date",IF(OR(B325&lt;=0,B325&lt;&gt;INT(B325)),"Invalid date",IF(COUNTIFS(DemoHistory[Date],B325)&lt;&gt;1,"Duplicate date",IF(AND($A325&gt;1,B325&lt;=B324),"Dates out of order",IF(NOT(ISNUMBER(C325)),"Missing price",IF(C325&lt;=0,"Nonpositive price","OK")))))))))</f>
        <v/>
      </c>
      <c r="I325" s="136"/>
      <c r="J325" s="136"/>
      <c r="K325" s="136"/>
      <c r="L325" s="136"/>
      <c r="M325" s="136"/>
      <c r="N325" s="136" t="e">
        <f t="shared" si="13"/>
        <v>#N/A</v>
      </c>
      <c r="O325" s="136" t="e">
        <f t="shared" si="14"/>
        <v>#N/A</v>
      </c>
    </row>
    <row r="326" spans="1:15" ht="22.05" customHeight="1" x14ac:dyDescent="0.3">
      <c r="A326" s="136">
        <v>282</v>
      </c>
      <c r="B326" s="165" t="str">
        <f>IF($A326&gt;MIN($A$10,$A$2),"",INDEX(DemoHistory[Date],$A326))</f>
        <v/>
      </c>
      <c r="C326" s="166" t="str">
        <f>IF(OR($A326&gt;MIN($A$10,$A$2),$A$5=""),"",INDEX(DemoHistory[],$A326,MATCH($A$5,DemoHistory[#Headers],0)))</f>
        <v/>
      </c>
      <c r="D326" s="166" t="str">
        <f>IF($A326&gt;MIN($A$10,$A$2),"",IF(AND($A$12,$A$6=1,B326&lt;$A$7,$A$7&lt;=MAX(DemoHistory[Date])),$A$8,1))</f>
        <v/>
      </c>
      <c r="E326" s="166" t="str">
        <f t="shared" si="12"/>
        <v/>
      </c>
      <c r="F326" s="166" t="str">
        <f>IF($A326&gt;MIN($A$10,$A$2),"",IF($A326&lt;50,"n.a.",IF(COUNT(INDEX(StockDaily[Adjusted close],MAX(1,$A326-50+1)):E326)=50,AVERAGE(INDEX(StockDaily[Adjusted close],MAX(1,$A326-50+1)):E326),"n.a.")))</f>
        <v/>
      </c>
      <c r="G326" s="166" t="str">
        <f>IF($A326&gt;MIN($A$10,$A$2),"",IF($A326&lt;200,"n.a.",IF(COUNT(INDEX(StockDaily[Adjusted close],MAX(1,$A326-200+1)):E326)=200,AVERAGE(INDEX(StockDaily[Adjusted close],MAX(1,$A326-200+1)):E326),"n.a.")))</f>
        <v/>
      </c>
      <c r="H326" s="136" t="str">
        <f>IF($A326&gt;MIN($A$10,$A$2),"",IF($A$5="","Choose stock",IF(NOT($A$12),"Check split rule",IF(NOT(ISNUMBER(B326)),"Invalid date",IF(OR(B326&lt;=0,B326&lt;&gt;INT(B326)),"Invalid date",IF(COUNTIFS(DemoHistory[Date],B326)&lt;&gt;1,"Duplicate date",IF(AND($A326&gt;1,B326&lt;=B325),"Dates out of order",IF(NOT(ISNUMBER(C326)),"Missing price",IF(C326&lt;=0,"Nonpositive price","OK")))))))))</f>
        <v/>
      </c>
      <c r="I326" s="136"/>
      <c r="J326" s="136"/>
      <c r="K326" s="136"/>
      <c r="L326" s="136"/>
      <c r="M326" s="136"/>
      <c r="N326" s="136" t="e">
        <f t="shared" si="13"/>
        <v>#N/A</v>
      </c>
      <c r="O326" s="136" t="e">
        <f t="shared" si="14"/>
        <v>#N/A</v>
      </c>
    </row>
    <row r="327" spans="1:15" ht="22.05" customHeight="1" x14ac:dyDescent="0.3">
      <c r="A327" s="136">
        <v>283</v>
      </c>
      <c r="B327" s="165" t="str">
        <f>IF($A327&gt;MIN($A$10,$A$2),"",INDEX(DemoHistory[Date],$A327))</f>
        <v/>
      </c>
      <c r="C327" s="166" t="str">
        <f>IF(OR($A327&gt;MIN($A$10,$A$2),$A$5=""),"",INDEX(DemoHistory[],$A327,MATCH($A$5,DemoHistory[#Headers],0)))</f>
        <v/>
      </c>
      <c r="D327" s="166" t="str">
        <f>IF($A327&gt;MIN($A$10,$A$2),"",IF(AND($A$12,$A$6=1,B327&lt;$A$7,$A$7&lt;=MAX(DemoHistory[Date])),$A$8,1))</f>
        <v/>
      </c>
      <c r="E327" s="166" t="str">
        <f t="shared" si="12"/>
        <v/>
      </c>
      <c r="F327" s="166" t="str">
        <f>IF($A327&gt;MIN($A$10,$A$2),"",IF($A327&lt;50,"n.a.",IF(COUNT(INDEX(StockDaily[Adjusted close],MAX(1,$A327-50+1)):E327)=50,AVERAGE(INDEX(StockDaily[Adjusted close],MAX(1,$A327-50+1)):E327),"n.a.")))</f>
        <v/>
      </c>
      <c r="G327" s="166" t="str">
        <f>IF($A327&gt;MIN($A$10,$A$2),"",IF($A327&lt;200,"n.a.",IF(COUNT(INDEX(StockDaily[Adjusted close],MAX(1,$A327-200+1)):E327)=200,AVERAGE(INDEX(StockDaily[Adjusted close],MAX(1,$A327-200+1)):E327),"n.a.")))</f>
        <v/>
      </c>
      <c r="H327" s="136" t="str">
        <f>IF($A327&gt;MIN($A$10,$A$2),"",IF($A$5="","Choose stock",IF(NOT($A$12),"Check split rule",IF(NOT(ISNUMBER(B327)),"Invalid date",IF(OR(B327&lt;=0,B327&lt;&gt;INT(B327)),"Invalid date",IF(COUNTIFS(DemoHistory[Date],B327)&lt;&gt;1,"Duplicate date",IF(AND($A327&gt;1,B327&lt;=B326),"Dates out of order",IF(NOT(ISNUMBER(C327)),"Missing price",IF(C327&lt;=0,"Nonpositive price","OK")))))))))</f>
        <v/>
      </c>
      <c r="I327" s="136"/>
      <c r="J327" s="136"/>
      <c r="K327" s="136"/>
      <c r="L327" s="136"/>
      <c r="M327" s="136"/>
      <c r="N327" s="136" t="e">
        <f t="shared" si="13"/>
        <v>#N/A</v>
      </c>
      <c r="O327" s="136" t="e">
        <f t="shared" si="14"/>
        <v>#N/A</v>
      </c>
    </row>
    <row r="328" spans="1:15" ht="22.05" customHeight="1" x14ac:dyDescent="0.3">
      <c r="A328" s="136">
        <v>284</v>
      </c>
      <c r="B328" s="165" t="str">
        <f>IF($A328&gt;MIN($A$10,$A$2),"",INDEX(DemoHistory[Date],$A328))</f>
        <v/>
      </c>
      <c r="C328" s="166" t="str">
        <f>IF(OR($A328&gt;MIN($A$10,$A$2),$A$5=""),"",INDEX(DemoHistory[],$A328,MATCH($A$5,DemoHistory[#Headers],0)))</f>
        <v/>
      </c>
      <c r="D328" s="166" t="str">
        <f>IF($A328&gt;MIN($A$10,$A$2),"",IF(AND($A$12,$A$6=1,B328&lt;$A$7,$A$7&lt;=MAX(DemoHistory[Date])),$A$8,1))</f>
        <v/>
      </c>
      <c r="E328" s="166" t="str">
        <f t="shared" si="12"/>
        <v/>
      </c>
      <c r="F328" s="166" t="str">
        <f>IF($A328&gt;MIN($A$10,$A$2),"",IF($A328&lt;50,"n.a.",IF(COUNT(INDEX(StockDaily[Adjusted close],MAX(1,$A328-50+1)):E328)=50,AVERAGE(INDEX(StockDaily[Adjusted close],MAX(1,$A328-50+1)):E328),"n.a.")))</f>
        <v/>
      </c>
      <c r="G328" s="166" t="str">
        <f>IF($A328&gt;MIN($A$10,$A$2),"",IF($A328&lt;200,"n.a.",IF(COUNT(INDEX(StockDaily[Adjusted close],MAX(1,$A328-200+1)):E328)=200,AVERAGE(INDEX(StockDaily[Adjusted close],MAX(1,$A328-200+1)):E328),"n.a.")))</f>
        <v/>
      </c>
      <c r="H328" s="136" t="str">
        <f>IF($A328&gt;MIN($A$10,$A$2),"",IF($A$5="","Choose stock",IF(NOT($A$12),"Check split rule",IF(NOT(ISNUMBER(B328)),"Invalid date",IF(OR(B328&lt;=0,B328&lt;&gt;INT(B328)),"Invalid date",IF(COUNTIFS(DemoHistory[Date],B328)&lt;&gt;1,"Duplicate date",IF(AND($A328&gt;1,B328&lt;=B327),"Dates out of order",IF(NOT(ISNUMBER(C328)),"Missing price",IF(C328&lt;=0,"Nonpositive price","OK")))))))))</f>
        <v/>
      </c>
      <c r="I328" s="136"/>
      <c r="J328" s="136"/>
      <c r="K328" s="136"/>
      <c r="L328" s="136"/>
      <c r="M328" s="136"/>
      <c r="N328" s="136" t="e">
        <f t="shared" si="13"/>
        <v>#N/A</v>
      </c>
      <c r="O328" s="136" t="e">
        <f t="shared" si="14"/>
        <v>#N/A</v>
      </c>
    </row>
    <row r="329" spans="1:15" ht="22.05" customHeight="1" x14ac:dyDescent="0.3">
      <c r="A329" s="136">
        <v>285</v>
      </c>
      <c r="B329" s="165" t="str">
        <f>IF($A329&gt;MIN($A$10,$A$2),"",INDEX(DemoHistory[Date],$A329))</f>
        <v/>
      </c>
      <c r="C329" s="166" t="str">
        <f>IF(OR($A329&gt;MIN($A$10,$A$2),$A$5=""),"",INDEX(DemoHistory[],$A329,MATCH($A$5,DemoHistory[#Headers],0)))</f>
        <v/>
      </c>
      <c r="D329" s="166" t="str">
        <f>IF($A329&gt;MIN($A$10,$A$2),"",IF(AND($A$12,$A$6=1,B329&lt;$A$7,$A$7&lt;=MAX(DemoHistory[Date])),$A$8,1))</f>
        <v/>
      </c>
      <c r="E329" s="166" t="str">
        <f t="shared" si="12"/>
        <v/>
      </c>
      <c r="F329" s="166" t="str">
        <f>IF($A329&gt;MIN($A$10,$A$2),"",IF($A329&lt;50,"n.a.",IF(COUNT(INDEX(StockDaily[Adjusted close],MAX(1,$A329-50+1)):E329)=50,AVERAGE(INDEX(StockDaily[Adjusted close],MAX(1,$A329-50+1)):E329),"n.a.")))</f>
        <v/>
      </c>
      <c r="G329" s="166" t="str">
        <f>IF($A329&gt;MIN($A$10,$A$2),"",IF($A329&lt;200,"n.a.",IF(COUNT(INDEX(StockDaily[Adjusted close],MAX(1,$A329-200+1)):E329)=200,AVERAGE(INDEX(StockDaily[Adjusted close],MAX(1,$A329-200+1)):E329),"n.a.")))</f>
        <v/>
      </c>
      <c r="H329" s="136" t="str">
        <f>IF($A329&gt;MIN($A$10,$A$2),"",IF($A$5="","Choose stock",IF(NOT($A$12),"Check split rule",IF(NOT(ISNUMBER(B329)),"Invalid date",IF(OR(B329&lt;=0,B329&lt;&gt;INT(B329)),"Invalid date",IF(COUNTIFS(DemoHistory[Date],B329)&lt;&gt;1,"Duplicate date",IF(AND($A329&gt;1,B329&lt;=B328),"Dates out of order",IF(NOT(ISNUMBER(C329)),"Missing price",IF(C329&lt;=0,"Nonpositive price","OK")))))))))</f>
        <v/>
      </c>
      <c r="I329" s="136"/>
      <c r="J329" s="136"/>
      <c r="K329" s="136"/>
      <c r="L329" s="136"/>
      <c r="M329" s="136"/>
      <c r="N329" s="136" t="e">
        <f t="shared" si="13"/>
        <v>#N/A</v>
      </c>
      <c r="O329" s="136" t="e">
        <f t="shared" si="14"/>
        <v>#N/A</v>
      </c>
    </row>
    <row r="330" spans="1:15" ht="22.05" customHeight="1" x14ac:dyDescent="0.3">
      <c r="A330" s="136">
        <v>286</v>
      </c>
      <c r="B330" s="165" t="str">
        <f>IF($A330&gt;MIN($A$10,$A$2),"",INDEX(DemoHistory[Date],$A330))</f>
        <v/>
      </c>
      <c r="C330" s="166" t="str">
        <f>IF(OR($A330&gt;MIN($A$10,$A$2),$A$5=""),"",INDEX(DemoHistory[],$A330,MATCH($A$5,DemoHistory[#Headers],0)))</f>
        <v/>
      </c>
      <c r="D330" s="166" t="str">
        <f>IF($A330&gt;MIN($A$10,$A$2),"",IF(AND($A$12,$A$6=1,B330&lt;$A$7,$A$7&lt;=MAX(DemoHistory[Date])),$A$8,1))</f>
        <v/>
      </c>
      <c r="E330" s="166" t="str">
        <f t="shared" si="12"/>
        <v/>
      </c>
      <c r="F330" s="166" t="str">
        <f>IF($A330&gt;MIN($A$10,$A$2),"",IF($A330&lt;50,"n.a.",IF(COUNT(INDEX(StockDaily[Adjusted close],MAX(1,$A330-50+1)):E330)=50,AVERAGE(INDEX(StockDaily[Adjusted close],MAX(1,$A330-50+1)):E330),"n.a.")))</f>
        <v/>
      </c>
      <c r="G330" s="166" t="str">
        <f>IF($A330&gt;MIN($A$10,$A$2),"",IF($A330&lt;200,"n.a.",IF(COUNT(INDEX(StockDaily[Adjusted close],MAX(1,$A330-200+1)):E330)=200,AVERAGE(INDEX(StockDaily[Adjusted close],MAX(1,$A330-200+1)):E330),"n.a.")))</f>
        <v/>
      </c>
      <c r="H330" s="136" t="str">
        <f>IF($A330&gt;MIN($A$10,$A$2),"",IF($A$5="","Choose stock",IF(NOT($A$12),"Check split rule",IF(NOT(ISNUMBER(B330)),"Invalid date",IF(OR(B330&lt;=0,B330&lt;&gt;INT(B330)),"Invalid date",IF(COUNTIFS(DemoHistory[Date],B330)&lt;&gt;1,"Duplicate date",IF(AND($A330&gt;1,B330&lt;=B329),"Dates out of order",IF(NOT(ISNUMBER(C330)),"Missing price",IF(C330&lt;=0,"Nonpositive price","OK")))))))))</f>
        <v/>
      </c>
      <c r="I330" s="136"/>
      <c r="J330" s="136"/>
      <c r="K330" s="136"/>
      <c r="L330" s="136"/>
      <c r="M330" s="136"/>
      <c r="N330" s="136" t="e">
        <f t="shared" si="13"/>
        <v>#N/A</v>
      </c>
      <c r="O330" s="136" t="e">
        <f t="shared" si="14"/>
        <v>#N/A</v>
      </c>
    </row>
    <row r="331" spans="1:15" ht="22.05" customHeight="1" x14ac:dyDescent="0.3">
      <c r="A331" s="136">
        <v>287</v>
      </c>
      <c r="B331" s="165" t="str">
        <f>IF($A331&gt;MIN($A$10,$A$2),"",INDEX(DemoHistory[Date],$A331))</f>
        <v/>
      </c>
      <c r="C331" s="166" t="str">
        <f>IF(OR($A331&gt;MIN($A$10,$A$2),$A$5=""),"",INDEX(DemoHistory[],$A331,MATCH($A$5,DemoHistory[#Headers],0)))</f>
        <v/>
      </c>
      <c r="D331" s="166" t="str">
        <f>IF($A331&gt;MIN($A$10,$A$2),"",IF(AND($A$12,$A$6=1,B331&lt;$A$7,$A$7&lt;=MAX(DemoHistory[Date])),$A$8,1))</f>
        <v/>
      </c>
      <c r="E331" s="166" t="str">
        <f t="shared" si="12"/>
        <v/>
      </c>
      <c r="F331" s="166" t="str">
        <f>IF($A331&gt;MIN($A$10,$A$2),"",IF($A331&lt;50,"n.a.",IF(COUNT(INDEX(StockDaily[Adjusted close],MAX(1,$A331-50+1)):E331)=50,AVERAGE(INDEX(StockDaily[Adjusted close],MAX(1,$A331-50+1)):E331),"n.a.")))</f>
        <v/>
      </c>
      <c r="G331" s="166" t="str">
        <f>IF($A331&gt;MIN($A$10,$A$2),"",IF($A331&lt;200,"n.a.",IF(COUNT(INDEX(StockDaily[Adjusted close],MAX(1,$A331-200+1)):E331)=200,AVERAGE(INDEX(StockDaily[Adjusted close],MAX(1,$A331-200+1)):E331),"n.a.")))</f>
        <v/>
      </c>
      <c r="H331" s="136" t="str">
        <f>IF($A331&gt;MIN($A$10,$A$2),"",IF($A$5="","Choose stock",IF(NOT($A$12),"Check split rule",IF(NOT(ISNUMBER(B331)),"Invalid date",IF(OR(B331&lt;=0,B331&lt;&gt;INT(B331)),"Invalid date",IF(COUNTIFS(DemoHistory[Date],B331)&lt;&gt;1,"Duplicate date",IF(AND($A331&gt;1,B331&lt;=B330),"Dates out of order",IF(NOT(ISNUMBER(C331)),"Missing price",IF(C331&lt;=0,"Nonpositive price","OK")))))))))</f>
        <v/>
      </c>
      <c r="I331" s="136"/>
      <c r="J331" s="136"/>
      <c r="K331" s="136"/>
      <c r="L331" s="136"/>
      <c r="M331" s="136"/>
      <c r="N331" s="136" t="e">
        <f t="shared" si="13"/>
        <v>#N/A</v>
      </c>
      <c r="O331" s="136" t="e">
        <f t="shared" si="14"/>
        <v>#N/A</v>
      </c>
    </row>
    <row r="332" spans="1:15" ht="22.05" customHeight="1" x14ac:dyDescent="0.3">
      <c r="A332" s="136">
        <v>288</v>
      </c>
      <c r="B332" s="165" t="str">
        <f>IF($A332&gt;MIN($A$10,$A$2),"",INDEX(DemoHistory[Date],$A332))</f>
        <v/>
      </c>
      <c r="C332" s="166" t="str">
        <f>IF(OR($A332&gt;MIN($A$10,$A$2),$A$5=""),"",INDEX(DemoHistory[],$A332,MATCH($A$5,DemoHistory[#Headers],0)))</f>
        <v/>
      </c>
      <c r="D332" s="166" t="str">
        <f>IF($A332&gt;MIN($A$10,$A$2),"",IF(AND($A$12,$A$6=1,B332&lt;$A$7,$A$7&lt;=MAX(DemoHistory[Date])),$A$8,1))</f>
        <v/>
      </c>
      <c r="E332" s="166" t="str">
        <f t="shared" si="12"/>
        <v/>
      </c>
      <c r="F332" s="166" t="str">
        <f>IF($A332&gt;MIN($A$10,$A$2),"",IF($A332&lt;50,"n.a.",IF(COUNT(INDEX(StockDaily[Adjusted close],MAX(1,$A332-50+1)):E332)=50,AVERAGE(INDEX(StockDaily[Adjusted close],MAX(1,$A332-50+1)):E332),"n.a.")))</f>
        <v/>
      </c>
      <c r="G332" s="166" t="str">
        <f>IF($A332&gt;MIN($A$10,$A$2),"",IF($A332&lt;200,"n.a.",IF(COUNT(INDEX(StockDaily[Adjusted close],MAX(1,$A332-200+1)):E332)=200,AVERAGE(INDEX(StockDaily[Adjusted close],MAX(1,$A332-200+1)):E332),"n.a.")))</f>
        <v/>
      </c>
      <c r="H332" s="136" t="str">
        <f>IF($A332&gt;MIN($A$10,$A$2),"",IF($A$5="","Choose stock",IF(NOT($A$12),"Check split rule",IF(NOT(ISNUMBER(B332)),"Invalid date",IF(OR(B332&lt;=0,B332&lt;&gt;INT(B332)),"Invalid date",IF(COUNTIFS(DemoHistory[Date],B332)&lt;&gt;1,"Duplicate date",IF(AND($A332&gt;1,B332&lt;=B331),"Dates out of order",IF(NOT(ISNUMBER(C332)),"Missing price",IF(C332&lt;=0,"Nonpositive price","OK")))))))))</f>
        <v/>
      </c>
      <c r="I332" s="136"/>
      <c r="J332" s="136"/>
      <c r="K332" s="136"/>
      <c r="L332" s="136"/>
      <c r="M332" s="136"/>
      <c r="N332" s="136" t="e">
        <f t="shared" si="13"/>
        <v>#N/A</v>
      </c>
      <c r="O332" s="136" t="e">
        <f t="shared" si="14"/>
        <v>#N/A</v>
      </c>
    </row>
    <row r="333" spans="1:15" ht="22.05" customHeight="1" x14ac:dyDescent="0.3">
      <c r="A333" s="136">
        <v>289</v>
      </c>
      <c r="B333" s="165" t="str">
        <f>IF($A333&gt;MIN($A$10,$A$2),"",INDEX(DemoHistory[Date],$A333))</f>
        <v/>
      </c>
      <c r="C333" s="166" t="str">
        <f>IF(OR($A333&gt;MIN($A$10,$A$2),$A$5=""),"",INDEX(DemoHistory[],$A333,MATCH($A$5,DemoHistory[#Headers],0)))</f>
        <v/>
      </c>
      <c r="D333" s="166" t="str">
        <f>IF($A333&gt;MIN($A$10,$A$2),"",IF(AND($A$12,$A$6=1,B333&lt;$A$7,$A$7&lt;=MAX(DemoHistory[Date])),$A$8,1))</f>
        <v/>
      </c>
      <c r="E333" s="166" t="str">
        <f t="shared" si="12"/>
        <v/>
      </c>
      <c r="F333" s="166" t="str">
        <f>IF($A333&gt;MIN($A$10,$A$2),"",IF($A333&lt;50,"n.a.",IF(COUNT(INDEX(StockDaily[Adjusted close],MAX(1,$A333-50+1)):E333)=50,AVERAGE(INDEX(StockDaily[Adjusted close],MAX(1,$A333-50+1)):E333),"n.a.")))</f>
        <v/>
      </c>
      <c r="G333" s="166" t="str">
        <f>IF($A333&gt;MIN($A$10,$A$2),"",IF($A333&lt;200,"n.a.",IF(COUNT(INDEX(StockDaily[Adjusted close],MAX(1,$A333-200+1)):E333)=200,AVERAGE(INDEX(StockDaily[Adjusted close],MAX(1,$A333-200+1)):E333),"n.a.")))</f>
        <v/>
      </c>
      <c r="H333" s="136" t="str">
        <f>IF($A333&gt;MIN($A$10,$A$2),"",IF($A$5="","Choose stock",IF(NOT($A$12),"Check split rule",IF(NOT(ISNUMBER(B333)),"Invalid date",IF(OR(B333&lt;=0,B333&lt;&gt;INT(B333)),"Invalid date",IF(COUNTIFS(DemoHistory[Date],B333)&lt;&gt;1,"Duplicate date",IF(AND($A333&gt;1,B333&lt;=B332),"Dates out of order",IF(NOT(ISNUMBER(C333)),"Missing price",IF(C333&lt;=0,"Nonpositive price","OK")))))))))</f>
        <v/>
      </c>
      <c r="I333" s="136"/>
      <c r="J333" s="136"/>
      <c r="K333" s="136"/>
      <c r="L333" s="136"/>
      <c r="M333" s="136"/>
      <c r="N333" s="136" t="e">
        <f t="shared" si="13"/>
        <v>#N/A</v>
      </c>
      <c r="O333" s="136" t="e">
        <f t="shared" si="14"/>
        <v>#N/A</v>
      </c>
    </row>
    <row r="334" spans="1:15" ht="22.05" customHeight="1" x14ac:dyDescent="0.3">
      <c r="A334" s="136">
        <v>290</v>
      </c>
      <c r="B334" s="165" t="str">
        <f>IF($A334&gt;MIN($A$10,$A$2),"",INDEX(DemoHistory[Date],$A334))</f>
        <v/>
      </c>
      <c r="C334" s="166" t="str">
        <f>IF(OR($A334&gt;MIN($A$10,$A$2),$A$5=""),"",INDEX(DemoHistory[],$A334,MATCH($A$5,DemoHistory[#Headers],0)))</f>
        <v/>
      </c>
      <c r="D334" s="166" t="str">
        <f>IF($A334&gt;MIN($A$10,$A$2),"",IF(AND($A$12,$A$6=1,B334&lt;$A$7,$A$7&lt;=MAX(DemoHistory[Date])),$A$8,1))</f>
        <v/>
      </c>
      <c r="E334" s="166" t="str">
        <f t="shared" si="12"/>
        <v/>
      </c>
      <c r="F334" s="166" t="str">
        <f>IF($A334&gt;MIN($A$10,$A$2),"",IF($A334&lt;50,"n.a.",IF(COUNT(INDEX(StockDaily[Adjusted close],MAX(1,$A334-50+1)):E334)=50,AVERAGE(INDEX(StockDaily[Adjusted close],MAX(1,$A334-50+1)):E334),"n.a.")))</f>
        <v/>
      </c>
      <c r="G334" s="166" t="str">
        <f>IF($A334&gt;MIN($A$10,$A$2),"",IF($A334&lt;200,"n.a.",IF(COUNT(INDEX(StockDaily[Adjusted close],MAX(1,$A334-200+1)):E334)=200,AVERAGE(INDEX(StockDaily[Adjusted close],MAX(1,$A334-200+1)):E334),"n.a.")))</f>
        <v/>
      </c>
      <c r="H334" s="136" t="str">
        <f>IF($A334&gt;MIN($A$10,$A$2),"",IF($A$5="","Choose stock",IF(NOT($A$12),"Check split rule",IF(NOT(ISNUMBER(B334)),"Invalid date",IF(OR(B334&lt;=0,B334&lt;&gt;INT(B334)),"Invalid date",IF(COUNTIFS(DemoHistory[Date],B334)&lt;&gt;1,"Duplicate date",IF(AND($A334&gt;1,B334&lt;=B333),"Dates out of order",IF(NOT(ISNUMBER(C334)),"Missing price",IF(C334&lt;=0,"Nonpositive price","OK")))))))))</f>
        <v/>
      </c>
      <c r="I334" s="136"/>
      <c r="J334" s="136"/>
      <c r="K334" s="136"/>
      <c r="L334" s="136"/>
      <c r="M334" s="136"/>
      <c r="N334" s="136" t="e">
        <f t="shared" si="13"/>
        <v>#N/A</v>
      </c>
      <c r="O334" s="136" t="e">
        <f t="shared" si="14"/>
        <v>#N/A</v>
      </c>
    </row>
    <row r="335" spans="1:15" ht="22.05" customHeight="1" x14ac:dyDescent="0.3">
      <c r="A335" s="136">
        <v>291</v>
      </c>
      <c r="B335" s="165" t="str">
        <f>IF($A335&gt;MIN($A$10,$A$2),"",INDEX(DemoHistory[Date],$A335))</f>
        <v/>
      </c>
      <c r="C335" s="166" t="str">
        <f>IF(OR($A335&gt;MIN($A$10,$A$2),$A$5=""),"",INDEX(DemoHistory[],$A335,MATCH($A$5,DemoHistory[#Headers],0)))</f>
        <v/>
      </c>
      <c r="D335" s="166" t="str">
        <f>IF($A335&gt;MIN($A$10,$A$2),"",IF(AND($A$12,$A$6=1,B335&lt;$A$7,$A$7&lt;=MAX(DemoHistory[Date])),$A$8,1))</f>
        <v/>
      </c>
      <c r="E335" s="166" t="str">
        <f t="shared" si="12"/>
        <v/>
      </c>
      <c r="F335" s="166" t="str">
        <f>IF($A335&gt;MIN($A$10,$A$2),"",IF($A335&lt;50,"n.a.",IF(COUNT(INDEX(StockDaily[Adjusted close],MAX(1,$A335-50+1)):E335)=50,AVERAGE(INDEX(StockDaily[Adjusted close],MAX(1,$A335-50+1)):E335),"n.a.")))</f>
        <v/>
      </c>
      <c r="G335" s="166" t="str">
        <f>IF($A335&gt;MIN($A$10,$A$2),"",IF($A335&lt;200,"n.a.",IF(COUNT(INDEX(StockDaily[Adjusted close],MAX(1,$A335-200+1)):E335)=200,AVERAGE(INDEX(StockDaily[Adjusted close],MAX(1,$A335-200+1)):E335),"n.a.")))</f>
        <v/>
      </c>
      <c r="H335" s="136" t="str">
        <f>IF($A335&gt;MIN($A$10,$A$2),"",IF($A$5="","Choose stock",IF(NOT($A$12),"Check split rule",IF(NOT(ISNUMBER(B335)),"Invalid date",IF(OR(B335&lt;=0,B335&lt;&gt;INT(B335)),"Invalid date",IF(COUNTIFS(DemoHistory[Date],B335)&lt;&gt;1,"Duplicate date",IF(AND($A335&gt;1,B335&lt;=B334),"Dates out of order",IF(NOT(ISNUMBER(C335)),"Missing price",IF(C335&lt;=0,"Nonpositive price","OK")))))))))</f>
        <v/>
      </c>
      <c r="I335" s="136"/>
      <c r="J335" s="136"/>
      <c r="K335" s="136"/>
      <c r="L335" s="136"/>
      <c r="M335" s="136"/>
      <c r="N335" s="136" t="e">
        <f t="shared" si="13"/>
        <v>#N/A</v>
      </c>
      <c r="O335" s="136" t="e">
        <f t="shared" si="14"/>
        <v>#N/A</v>
      </c>
    </row>
    <row r="336" spans="1:15" ht="22.05" customHeight="1" x14ac:dyDescent="0.3">
      <c r="A336" s="136">
        <v>292</v>
      </c>
      <c r="B336" s="165" t="str">
        <f>IF($A336&gt;MIN($A$10,$A$2),"",INDEX(DemoHistory[Date],$A336))</f>
        <v/>
      </c>
      <c r="C336" s="166" t="str">
        <f>IF(OR($A336&gt;MIN($A$10,$A$2),$A$5=""),"",INDEX(DemoHistory[],$A336,MATCH($A$5,DemoHistory[#Headers],0)))</f>
        <v/>
      </c>
      <c r="D336" s="166" t="str">
        <f>IF($A336&gt;MIN($A$10,$A$2),"",IF(AND($A$12,$A$6=1,B336&lt;$A$7,$A$7&lt;=MAX(DemoHistory[Date])),$A$8,1))</f>
        <v/>
      </c>
      <c r="E336" s="166" t="str">
        <f t="shared" si="12"/>
        <v/>
      </c>
      <c r="F336" s="166" t="str">
        <f>IF($A336&gt;MIN($A$10,$A$2),"",IF($A336&lt;50,"n.a.",IF(COUNT(INDEX(StockDaily[Adjusted close],MAX(1,$A336-50+1)):E336)=50,AVERAGE(INDEX(StockDaily[Adjusted close],MAX(1,$A336-50+1)):E336),"n.a.")))</f>
        <v/>
      </c>
      <c r="G336" s="166" t="str">
        <f>IF($A336&gt;MIN($A$10,$A$2),"",IF($A336&lt;200,"n.a.",IF(COUNT(INDEX(StockDaily[Adjusted close],MAX(1,$A336-200+1)):E336)=200,AVERAGE(INDEX(StockDaily[Adjusted close],MAX(1,$A336-200+1)):E336),"n.a.")))</f>
        <v/>
      </c>
      <c r="H336" s="136" t="str">
        <f>IF($A336&gt;MIN($A$10,$A$2),"",IF($A$5="","Choose stock",IF(NOT($A$12),"Check split rule",IF(NOT(ISNUMBER(B336)),"Invalid date",IF(OR(B336&lt;=0,B336&lt;&gt;INT(B336)),"Invalid date",IF(COUNTIFS(DemoHistory[Date],B336)&lt;&gt;1,"Duplicate date",IF(AND($A336&gt;1,B336&lt;=B335),"Dates out of order",IF(NOT(ISNUMBER(C336)),"Missing price",IF(C336&lt;=0,"Nonpositive price","OK")))))))))</f>
        <v/>
      </c>
      <c r="I336" s="136"/>
      <c r="J336" s="136"/>
      <c r="K336" s="136"/>
      <c r="L336" s="136"/>
      <c r="M336" s="136"/>
      <c r="N336" s="136" t="e">
        <f t="shared" si="13"/>
        <v>#N/A</v>
      </c>
      <c r="O336" s="136" t="e">
        <f t="shared" si="14"/>
        <v>#N/A</v>
      </c>
    </row>
    <row r="337" spans="1:15" ht="22.05" customHeight="1" x14ac:dyDescent="0.3">
      <c r="A337" s="136">
        <v>293</v>
      </c>
      <c r="B337" s="165" t="str">
        <f>IF($A337&gt;MIN($A$10,$A$2),"",INDEX(DemoHistory[Date],$A337))</f>
        <v/>
      </c>
      <c r="C337" s="166" t="str">
        <f>IF(OR($A337&gt;MIN($A$10,$A$2),$A$5=""),"",INDEX(DemoHistory[],$A337,MATCH($A$5,DemoHistory[#Headers],0)))</f>
        <v/>
      </c>
      <c r="D337" s="166" t="str">
        <f>IF($A337&gt;MIN($A$10,$A$2),"",IF(AND($A$12,$A$6=1,B337&lt;$A$7,$A$7&lt;=MAX(DemoHistory[Date])),$A$8,1))</f>
        <v/>
      </c>
      <c r="E337" s="166" t="str">
        <f t="shared" si="12"/>
        <v/>
      </c>
      <c r="F337" s="166" t="str">
        <f>IF($A337&gt;MIN($A$10,$A$2),"",IF($A337&lt;50,"n.a.",IF(COUNT(INDEX(StockDaily[Adjusted close],MAX(1,$A337-50+1)):E337)=50,AVERAGE(INDEX(StockDaily[Adjusted close],MAX(1,$A337-50+1)):E337),"n.a.")))</f>
        <v/>
      </c>
      <c r="G337" s="166" t="str">
        <f>IF($A337&gt;MIN($A$10,$A$2),"",IF($A337&lt;200,"n.a.",IF(COUNT(INDEX(StockDaily[Adjusted close],MAX(1,$A337-200+1)):E337)=200,AVERAGE(INDEX(StockDaily[Adjusted close],MAX(1,$A337-200+1)):E337),"n.a.")))</f>
        <v/>
      </c>
      <c r="H337" s="136" t="str">
        <f>IF($A337&gt;MIN($A$10,$A$2),"",IF($A$5="","Choose stock",IF(NOT($A$12),"Check split rule",IF(NOT(ISNUMBER(B337)),"Invalid date",IF(OR(B337&lt;=0,B337&lt;&gt;INT(B337)),"Invalid date",IF(COUNTIFS(DemoHistory[Date],B337)&lt;&gt;1,"Duplicate date",IF(AND($A337&gt;1,B337&lt;=B336),"Dates out of order",IF(NOT(ISNUMBER(C337)),"Missing price",IF(C337&lt;=0,"Nonpositive price","OK")))))))))</f>
        <v/>
      </c>
      <c r="I337" s="136"/>
      <c r="J337" s="136"/>
      <c r="K337" s="136"/>
      <c r="L337" s="136"/>
      <c r="M337" s="136"/>
      <c r="N337" s="136" t="e">
        <f t="shared" si="13"/>
        <v>#N/A</v>
      </c>
      <c r="O337" s="136" t="e">
        <f t="shared" si="14"/>
        <v>#N/A</v>
      </c>
    </row>
    <row r="338" spans="1:15" ht="22.05" customHeight="1" x14ac:dyDescent="0.3">
      <c r="A338" s="136">
        <v>294</v>
      </c>
      <c r="B338" s="165" t="str">
        <f>IF($A338&gt;MIN($A$10,$A$2),"",INDEX(DemoHistory[Date],$A338))</f>
        <v/>
      </c>
      <c r="C338" s="166" t="str">
        <f>IF(OR($A338&gt;MIN($A$10,$A$2),$A$5=""),"",INDEX(DemoHistory[],$A338,MATCH($A$5,DemoHistory[#Headers],0)))</f>
        <v/>
      </c>
      <c r="D338" s="166" t="str">
        <f>IF($A338&gt;MIN($A$10,$A$2),"",IF(AND($A$12,$A$6=1,B338&lt;$A$7,$A$7&lt;=MAX(DemoHistory[Date])),$A$8,1))</f>
        <v/>
      </c>
      <c r="E338" s="166" t="str">
        <f t="shared" si="12"/>
        <v/>
      </c>
      <c r="F338" s="166" t="str">
        <f>IF($A338&gt;MIN($A$10,$A$2),"",IF($A338&lt;50,"n.a.",IF(COUNT(INDEX(StockDaily[Adjusted close],MAX(1,$A338-50+1)):E338)=50,AVERAGE(INDEX(StockDaily[Adjusted close],MAX(1,$A338-50+1)):E338),"n.a.")))</f>
        <v/>
      </c>
      <c r="G338" s="166" t="str">
        <f>IF($A338&gt;MIN($A$10,$A$2),"",IF($A338&lt;200,"n.a.",IF(COUNT(INDEX(StockDaily[Adjusted close],MAX(1,$A338-200+1)):E338)=200,AVERAGE(INDEX(StockDaily[Adjusted close],MAX(1,$A338-200+1)):E338),"n.a.")))</f>
        <v/>
      </c>
      <c r="H338" s="136" t="str">
        <f>IF($A338&gt;MIN($A$10,$A$2),"",IF($A$5="","Choose stock",IF(NOT($A$12),"Check split rule",IF(NOT(ISNUMBER(B338)),"Invalid date",IF(OR(B338&lt;=0,B338&lt;&gt;INT(B338)),"Invalid date",IF(COUNTIFS(DemoHistory[Date],B338)&lt;&gt;1,"Duplicate date",IF(AND($A338&gt;1,B338&lt;=B337),"Dates out of order",IF(NOT(ISNUMBER(C338)),"Missing price",IF(C338&lt;=0,"Nonpositive price","OK")))))))))</f>
        <v/>
      </c>
      <c r="I338" s="136"/>
      <c r="J338" s="136"/>
      <c r="K338" s="136"/>
      <c r="L338" s="136"/>
      <c r="M338" s="136"/>
      <c r="N338" s="136" t="e">
        <f t="shared" si="13"/>
        <v>#N/A</v>
      </c>
      <c r="O338" s="136" t="e">
        <f t="shared" si="14"/>
        <v>#N/A</v>
      </c>
    </row>
    <row r="339" spans="1:15" ht="22.05" customHeight="1" x14ac:dyDescent="0.3">
      <c r="A339" s="136">
        <v>295</v>
      </c>
      <c r="B339" s="165" t="str">
        <f>IF($A339&gt;MIN($A$10,$A$2),"",INDEX(DemoHistory[Date],$A339))</f>
        <v/>
      </c>
      <c r="C339" s="166" t="str">
        <f>IF(OR($A339&gt;MIN($A$10,$A$2),$A$5=""),"",INDEX(DemoHistory[],$A339,MATCH($A$5,DemoHistory[#Headers],0)))</f>
        <v/>
      </c>
      <c r="D339" s="166" t="str">
        <f>IF($A339&gt;MIN($A$10,$A$2),"",IF(AND($A$12,$A$6=1,B339&lt;$A$7,$A$7&lt;=MAX(DemoHistory[Date])),$A$8,1))</f>
        <v/>
      </c>
      <c r="E339" s="166" t="str">
        <f t="shared" si="12"/>
        <v/>
      </c>
      <c r="F339" s="166" t="str">
        <f>IF($A339&gt;MIN($A$10,$A$2),"",IF($A339&lt;50,"n.a.",IF(COUNT(INDEX(StockDaily[Adjusted close],MAX(1,$A339-50+1)):E339)=50,AVERAGE(INDEX(StockDaily[Adjusted close],MAX(1,$A339-50+1)):E339),"n.a.")))</f>
        <v/>
      </c>
      <c r="G339" s="166" t="str">
        <f>IF($A339&gt;MIN($A$10,$A$2),"",IF($A339&lt;200,"n.a.",IF(COUNT(INDEX(StockDaily[Adjusted close],MAX(1,$A339-200+1)):E339)=200,AVERAGE(INDEX(StockDaily[Adjusted close],MAX(1,$A339-200+1)):E339),"n.a.")))</f>
        <v/>
      </c>
      <c r="H339" s="136" t="str">
        <f>IF($A339&gt;MIN($A$10,$A$2),"",IF($A$5="","Choose stock",IF(NOT($A$12),"Check split rule",IF(NOT(ISNUMBER(B339)),"Invalid date",IF(OR(B339&lt;=0,B339&lt;&gt;INT(B339)),"Invalid date",IF(COUNTIFS(DemoHistory[Date],B339)&lt;&gt;1,"Duplicate date",IF(AND($A339&gt;1,B339&lt;=B338),"Dates out of order",IF(NOT(ISNUMBER(C339)),"Missing price",IF(C339&lt;=0,"Nonpositive price","OK")))))))))</f>
        <v/>
      </c>
      <c r="I339" s="136"/>
      <c r="J339" s="136"/>
      <c r="K339" s="136"/>
      <c r="L339" s="136"/>
      <c r="M339" s="136"/>
      <c r="N339" s="136" t="e">
        <f t="shared" si="13"/>
        <v>#N/A</v>
      </c>
      <c r="O339" s="136" t="e">
        <f t="shared" si="14"/>
        <v>#N/A</v>
      </c>
    </row>
    <row r="340" spans="1:15" ht="22.05" customHeight="1" x14ac:dyDescent="0.3">
      <c r="A340" s="136">
        <v>296</v>
      </c>
      <c r="B340" s="165" t="str">
        <f>IF($A340&gt;MIN($A$10,$A$2),"",INDEX(DemoHistory[Date],$A340))</f>
        <v/>
      </c>
      <c r="C340" s="166" t="str">
        <f>IF(OR($A340&gt;MIN($A$10,$A$2),$A$5=""),"",INDEX(DemoHistory[],$A340,MATCH($A$5,DemoHistory[#Headers],0)))</f>
        <v/>
      </c>
      <c r="D340" s="166" t="str">
        <f>IF($A340&gt;MIN($A$10,$A$2),"",IF(AND($A$12,$A$6=1,B340&lt;$A$7,$A$7&lt;=MAX(DemoHistory[Date])),$A$8,1))</f>
        <v/>
      </c>
      <c r="E340" s="166" t="str">
        <f t="shared" si="12"/>
        <v/>
      </c>
      <c r="F340" s="166" t="str">
        <f>IF($A340&gt;MIN($A$10,$A$2),"",IF($A340&lt;50,"n.a.",IF(COUNT(INDEX(StockDaily[Adjusted close],MAX(1,$A340-50+1)):E340)=50,AVERAGE(INDEX(StockDaily[Adjusted close],MAX(1,$A340-50+1)):E340),"n.a.")))</f>
        <v/>
      </c>
      <c r="G340" s="166" t="str">
        <f>IF($A340&gt;MIN($A$10,$A$2),"",IF($A340&lt;200,"n.a.",IF(COUNT(INDEX(StockDaily[Adjusted close],MAX(1,$A340-200+1)):E340)=200,AVERAGE(INDEX(StockDaily[Adjusted close],MAX(1,$A340-200+1)):E340),"n.a.")))</f>
        <v/>
      </c>
      <c r="H340" s="136" t="str">
        <f>IF($A340&gt;MIN($A$10,$A$2),"",IF($A$5="","Choose stock",IF(NOT($A$12),"Check split rule",IF(NOT(ISNUMBER(B340)),"Invalid date",IF(OR(B340&lt;=0,B340&lt;&gt;INT(B340)),"Invalid date",IF(COUNTIFS(DemoHistory[Date],B340)&lt;&gt;1,"Duplicate date",IF(AND($A340&gt;1,B340&lt;=B339),"Dates out of order",IF(NOT(ISNUMBER(C340)),"Missing price",IF(C340&lt;=0,"Nonpositive price","OK")))))))))</f>
        <v/>
      </c>
      <c r="I340" s="136"/>
      <c r="J340" s="136"/>
      <c r="K340" s="136"/>
      <c r="L340" s="136"/>
      <c r="M340" s="136"/>
      <c r="N340" s="136" t="e">
        <f t="shared" si="13"/>
        <v>#N/A</v>
      </c>
      <c r="O340" s="136" t="e">
        <f t="shared" si="14"/>
        <v>#N/A</v>
      </c>
    </row>
    <row r="341" spans="1:15" ht="22.05" customHeight="1" x14ac:dyDescent="0.3">
      <c r="A341" s="136">
        <v>297</v>
      </c>
      <c r="B341" s="165" t="str">
        <f>IF($A341&gt;MIN($A$10,$A$2),"",INDEX(DemoHistory[Date],$A341))</f>
        <v/>
      </c>
      <c r="C341" s="166" t="str">
        <f>IF(OR($A341&gt;MIN($A$10,$A$2),$A$5=""),"",INDEX(DemoHistory[],$A341,MATCH($A$5,DemoHistory[#Headers],0)))</f>
        <v/>
      </c>
      <c r="D341" s="166" t="str">
        <f>IF($A341&gt;MIN($A$10,$A$2),"",IF(AND($A$12,$A$6=1,B341&lt;$A$7,$A$7&lt;=MAX(DemoHistory[Date])),$A$8,1))</f>
        <v/>
      </c>
      <c r="E341" s="166" t="str">
        <f t="shared" si="12"/>
        <v/>
      </c>
      <c r="F341" s="166" t="str">
        <f>IF($A341&gt;MIN($A$10,$A$2),"",IF($A341&lt;50,"n.a.",IF(COUNT(INDEX(StockDaily[Adjusted close],MAX(1,$A341-50+1)):E341)=50,AVERAGE(INDEX(StockDaily[Adjusted close],MAX(1,$A341-50+1)):E341),"n.a.")))</f>
        <v/>
      </c>
      <c r="G341" s="166" t="str">
        <f>IF($A341&gt;MIN($A$10,$A$2),"",IF($A341&lt;200,"n.a.",IF(COUNT(INDEX(StockDaily[Adjusted close],MAX(1,$A341-200+1)):E341)=200,AVERAGE(INDEX(StockDaily[Adjusted close],MAX(1,$A341-200+1)):E341),"n.a.")))</f>
        <v/>
      </c>
      <c r="H341" s="136" t="str">
        <f>IF($A341&gt;MIN($A$10,$A$2),"",IF($A$5="","Choose stock",IF(NOT($A$12),"Check split rule",IF(NOT(ISNUMBER(B341)),"Invalid date",IF(OR(B341&lt;=0,B341&lt;&gt;INT(B341)),"Invalid date",IF(COUNTIFS(DemoHistory[Date],B341)&lt;&gt;1,"Duplicate date",IF(AND($A341&gt;1,B341&lt;=B340),"Dates out of order",IF(NOT(ISNUMBER(C341)),"Missing price",IF(C341&lt;=0,"Nonpositive price","OK")))))))))</f>
        <v/>
      </c>
      <c r="I341" s="136"/>
      <c r="J341" s="136"/>
      <c r="K341" s="136"/>
      <c r="L341" s="136"/>
      <c r="M341" s="136"/>
      <c r="N341" s="136" t="e">
        <f t="shared" si="13"/>
        <v>#N/A</v>
      </c>
      <c r="O341" s="136" t="e">
        <f t="shared" si="14"/>
        <v>#N/A</v>
      </c>
    </row>
    <row r="342" spans="1:15" ht="22.05" customHeight="1" x14ac:dyDescent="0.3">
      <c r="A342" s="136">
        <v>298</v>
      </c>
      <c r="B342" s="165" t="str">
        <f>IF($A342&gt;MIN($A$10,$A$2),"",INDEX(DemoHistory[Date],$A342))</f>
        <v/>
      </c>
      <c r="C342" s="166" t="str">
        <f>IF(OR($A342&gt;MIN($A$10,$A$2),$A$5=""),"",INDEX(DemoHistory[],$A342,MATCH($A$5,DemoHistory[#Headers],0)))</f>
        <v/>
      </c>
      <c r="D342" s="166" t="str">
        <f>IF($A342&gt;MIN($A$10,$A$2),"",IF(AND($A$12,$A$6=1,B342&lt;$A$7,$A$7&lt;=MAX(DemoHistory[Date])),$A$8,1))</f>
        <v/>
      </c>
      <c r="E342" s="166" t="str">
        <f t="shared" si="12"/>
        <v/>
      </c>
      <c r="F342" s="166" t="str">
        <f>IF($A342&gt;MIN($A$10,$A$2),"",IF($A342&lt;50,"n.a.",IF(COUNT(INDEX(StockDaily[Adjusted close],MAX(1,$A342-50+1)):E342)=50,AVERAGE(INDEX(StockDaily[Adjusted close],MAX(1,$A342-50+1)):E342),"n.a.")))</f>
        <v/>
      </c>
      <c r="G342" s="166" t="str">
        <f>IF($A342&gt;MIN($A$10,$A$2),"",IF($A342&lt;200,"n.a.",IF(COUNT(INDEX(StockDaily[Adjusted close],MAX(1,$A342-200+1)):E342)=200,AVERAGE(INDEX(StockDaily[Adjusted close],MAX(1,$A342-200+1)):E342),"n.a.")))</f>
        <v/>
      </c>
      <c r="H342" s="136" t="str">
        <f>IF($A342&gt;MIN($A$10,$A$2),"",IF($A$5="","Choose stock",IF(NOT($A$12),"Check split rule",IF(NOT(ISNUMBER(B342)),"Invalid date",IF(OR(B342&lt;=0,B342&lt;&gt;INT(B342)),"Invalid date",IF(COUNTIFS(DemoHistory[Date],B342)&lt;&gt;1,"Duplicate date",IF(AND($A342&gt;1,B342&lt;=B341),"Dates out of order",IF(NOT(ISNUMBER(C342)),"Missing price",IF(C342&lt;=0,"Nonpositive price","OK")))))))))</f>
        <v/>
      </c>
      <c r="I342" s="136"/>
      <c r="J342" s="136"/>
      <c r="K342" s="136"/>
      <c r="L342" s="136"/>
      <c r="M342" s="136"/>
      <c r="N342" s="136" t="e">
        <f t="shared" si="13"/>
        <v>#N/A</v>
      </c>
      <c r="O342" s="136" t="e">
        <f t="shared" si="14"/>
        <v>#N/A</v>
      </c>
    </row>
    <row r="343" spans="1:15" ht="22.05" customHeight="1" x14ac:dyDescent="0.3">
      <c r="A343" s="136">
        <v>299</v>
      </c>
      <c r="B343" s="165" t="str">
        <f>IF($A343&gt;MIN($A$10,$A$2),"",INDEX(DemoHistory[Date],$A343))</f>
        <v/>
      </c>
      <c r="C343" s="166" t="str">
        <f>IF(OR($A343&gt;MIN($A$10,$A$2),$A$5=""),"",INDEX(DemoHistory[],$A343,MATCH($A$5,DemoHistory[#Headers],0)))</f>
        <v/>
      </c>
      <c r="D343" s="166" t="str">
        <f>IF($A343&gt;MIN($A$10,$A$2),"",IF(AND($A$12,$A$6=1,B343&lt;$A$7,$A$7&lt;=MAX(DemoHistory[Date])),$A$8,1))</f>
        <v/>
      </c>
      <c r="E343" s="166" t="str">
        <f t="shared" si="12"/>
        <v/>
      </c>
      <c r="F343" s="166" t="str">
        <f>IF($A343&gt;MIN($A$10,$A$2),"",IF($A343&lt;50,"n.a.",IF(COUNT(INDEX(StockDaily[Adjusted close],MAX(1,$A343-50+1)):E343)=50,AVERAGE(INDEX(StockDaily[Adjusted close],MAX(1,$A343-50+1)):E343),"n.a.")))</f>
        <v/>
      </c>
      <c r="G343" s="166" t="str">
        <f>IF($A343&gt;MIN($A$10,$A$2),"",IF($A343&lt;200,"n.a.",IF(COUNT(INDEX(StockDaily[Adjusted close],MAX(1,$A343-200+1)):E343)=200,AVERAGE(INDEX(StockDaily[Adjusted close],MAX(1,$A343-200+1)):E343),"n.a.")))</f>
        <v/>
      </c>
      <c r="H343" s="136" t="str">
        <f>IF($A343&gt;MIN($A$10,$A$2),"",IF($A$5="","Choose stock",IF(NOT($A$12),"Check split rule",IF(NOT(ISNUMBER(B343)),"Invalid date",IF(OR(B343&lt;=0,B343&lt;&gt;INT(B343)),"Invalid date",IF(COUNTIFS(DemoHistory[Date],B343)&lt;&gt;1,"Duplicate date",IF(AND($A343&gt;1,B343&lt;=B342),"Dates out of order",IF(NOT(ISNUMBER(C343)),"Missing price",IF(C343&lt;=0,"Nonpositive price","OK")))))))))</f>
        <v/>
      </c>
      <c r="I343" s="136"/>
      <c r="J343" s="136"/>
      <c r="K343" s="136"/>
      <c r="L343" s="136"/>
      <c r="M343" s="136"/>
      <c r="N343" s="136" t="e">
        <f t="shared" si="13"/>
        <v>#N/A</v>
      </c>
      <c r="O343" s="136" t="e">
        <f t="shared" si="14"/>
        <v>#N/A</v>
      </c>
    </row>
    <row r="344" spans="1:15" ht="22.05" customHeight="1" x14ac:dyDescent="0.3">
      <c r="A344" s="136">
        <v>300</v>
      </c>
      <c r="B344" s="165" t="str">
        <f>IF($A344&gt;MIN($A$10,$A$2),"",INDEX(DemoHistory[Date],$A344))</f>
        <v/>
      </c>
      <c r="C344" s="166" t="str">
        <f>IF(OR($A344&gt;MIN($A$10,$A$2),$A$5=""),"",INDEX(DemoHistory[],$A344,MATCH($A$5,DemoHistory[#Headers],0)))</f>
        <v/>
      </c>
      <c r="D344" s="166" t="str">
        <f>IF($A344&gt;MIN($A$10,$A$2),"",IF(AND($A$12,$A$6=1,B344&lt;$A$7,$A$7&lt;=MAX(DemoHistory[Date])),$A$8,1))</f>
        <v/>
      </c>
      <c r="E344" s="166" t="str">
        <f t="shared" si="12"/>
        <v/>
      </c>
      <c r="F344" s="166" t="str">
        <f>IF($A344&gt;MIN($A$10,$A$2),"",IF($A344&lt;50,"n.a.",IF(COUNT(INDEX(StockDaily[Adjusted close],MAX(1,$A344-50+1)):E344)=50,AVERAGE(INDEX(StockDaily[Adjusted close],MAX(1,$A344-50+1)):E344),"n.a.")))</f>
        <v/>
      </c>
      <c r="G344" s="166" t="str">
        <f>IF($A344&gt;MIN($A$10,$A$2),"",IF($A344&lt;200,"n.a.",IF(COUNT(INDEX(StockDaily[Adjusted close],MAX(1,$A344-200+1)):E344)=200,AVERAGE(INDEX(StockDaily[Adjusted close],MAX(1,$A344-200+1)):E344),"n.a.")))</f>
        <v/>
      </c>
      <c r="H344" s="136" t="str">
        <f>IF($A344&gt;MIN($A$10,$A$2),"",IF($A$5="","Choose stock",IF(NOT($A$12),"Check split rule",IF(NOT(ISNUMBER(B344)),"Invalid date",IF(OR(B344&lt;=0,B344&lt;&gt;INT(B344)),"Invalid date",IF(COUNTIFS(DemoHistory[Date],B344)&lt;&gt;1,"Duplicate date",IF(AND($A344&gt;1,B344&lt;=B343),"Dates out of order",IF(NOT(ISNUMBER(C344)),"Missing price",IF(C344&lt;=0,"Nonpositive price","OK")))))))))</f>
        <v/>
      </c>
      <c r="I344" s="136"/>
      <c r="J344" s="136"/>
      <c r="K344" s="136"/>
      <c r="L344" s="136"/>
      <c r="M344" s="136"/>
      <c r="N344" s="136" t="e">
        <f t="shared" si="13"/>
        <v>#N/A</v>
      </c>
      <c r="O344" s="136" t="e">
        <f t="shared" si="14"/>
        <v>#N/A</v>
      </c>
    </row>
    <row r="345" spans="1:15" ht="22.05" customHeight="1" x14ac:dyDescent="0.3">
      <c r="A345" s="136">
        <v>301</v>
      </c>
      <c r="B345" s="165" t="str">
        <f>IF($A345&gt;MIN($A$10,$A$2),"",INDEX(DemoHistory[Date],$A345))</f>
        <v/>
      </c>
      <c r="C345" s="166" t="str">
        <f>IF(OR($A345&gt;MIN($A$10,$A$2),$A$5=""),"",INDEX(DemoHistory[],$A345,MATCH($A$5,DemoHistory[#Headers],0)))</f>
        <v/>
      </c>
      <c r="D345" s="166" t="str">
        <f>IF($A345&gt;MIN($A$10,$A$2),"",IF(AND($A$12,$A$6=1,B345&lt;$A$7,$A$7&lt;=MAX(DemoHistory[Date])),$A$8,1))</f>
        <v/>
      </c>
      <c r="E345" s="166" t="str">
        <f t="shared" si="12"/>
        <v/>
      </c>
      <c r="F345" s="166" t="str">
        <f>IF($A345&gt;MIN($A$10,$A$2),"",IF($A345&lt;50,"n.a.",IF(COUNT(INDEX(StockDaily[Adjusted close],MAX(1,$A345-50+1)):E345)=50,AVERAGE(INDEX(StockDaily[Adjusted close],MAX(1,$A345-50+1)):E345),"n.a.")))</f>
        <v/>
      </c>
      <c r="G345" s="166" t="str">
        <f>IF($A345&gt;MIN($A$10,$A$2),"",IF($A345&lt;200,"n.a.",IF(COUNT(INDEX(StockDaily[Adjusted close],MAX(1,$A345-200+1)):E345)=200,AVERAGE(INDEX(StockDaily[Adjusted close],MAX(1,$A345-200+1)):E345),"n.a.")))</f>
        <v/>
      </c>
      <c r="H345" s="136" t="str">
        <f>IF($A345&gt;MIN($A$10,$A$2),"",IF($A$5="","Choose stock",IF(NOT($A$12),"Check split rule",IF(NOT(ISNUMBER(B345)),"Invalid date",IF(OR(B345&lt;=0,B345&lt;&gt;INT(B345)),"Invalid date",IF(COUNTIFS(DemoHistory[Date],B345)&lt;&gt;1,"Duplicate date",IF(AND($A345&gt;1,B345&lt;=B344),"Dates out of order",IF(NOT(ISNUMBER(C345)),"Missing price",IF(C345&lt;=0,"Nonpositive price","OK")))))))))</f>
        <v/>
      </c>
      <c r="I345" s="136"/>
      <c r="J345" s="136"/>
      <c r="K345" s="136"/>
      <c r="L345" s="136"/>
      <c r="M345" s="136"/>
      <c r="N345" s="136" t="e">
        <f t="shared" si="13"/>
        <v>#N/A</v>
      </c>
      <c r="O345" s="136" t="e">
        <f t="shared" si="14"/>
        <v>#N/A</v>
      </c>
    </row>
    <row r="346" spans="1:15" ht="22.05" customHeight="1" x14ac:dyDescent="0.3">
      <c r="A346" s="136">
        <v>302</v>
      </c>
      <c r="B346" s="165" t="str">
        <f>IF($A346&gt;MIN($A$10,$A$2),"",INDEX(DemoHistory[Date],$A346))</f>
        <v/>
      </c>
      <c r="C346" s="166" t="str">
        <f>IF(OR($A346&gt;MIN($A$10,$A$2),$A$5=""),"",INDEX(DemoHistory[],$A346,MATCH($A$5,DemoHistory[#Headers],0)))</f>
        <v/>
      </c>
      <c r="D346" s="166" t="str">
        <f>IF($A346&gt;MIN($A$10,$A$2),"",IF(AND($A$12,$A$6=1,B346&lt;$A$7,$A$7&lt;=MAX(DemoHistory[Date])),$A$8,1))</f>
        <v/>
      </c>
      <c r="E346" s="166" t="str">
        <f t="shared" si="12"/>
        <v/>
      </c>
      <c r="F346" s="166" t="str">
        <f>IF($A346&gt;MIN($A$10,$A$2),"",IF($A346&lt;50,"n.a.",IF(COUNT(INDEX(StockDaily[Adjusted close],MAX(1,$A346-50+1)):E346)=50,AVERAGE(INDEX(StockDaily[Adjusted close],MAX(1,$A346-50+1)):E346),"n.a.")))</f>
        <v/>
      </c>
      <c r="G346" s="166" t="str">
        <f>IF($A346&gt;MIN($A$10,$A$2),"",IF($A346&lt;200,"n.a.",IF(COUNT(INDEX(StockDaily[Adjusted close],MAX(1,$A346-200+1)):E346)=200,AVERAGE(INDEX(StockDaily[Adjusted close],MAX(1,$A346-200+1)):E346),"n.a.")))</f>
        <v/>
      </c>
      <c r="H346" s="136" t="str">
        <f>IF($A346&gt;MIN($A$10,$A$2),"",IF($A$5="","Choose stock",IF(NOT($A$12),"Check split rule",IF(NOT(ISNUMBER(B346)),"Invalid date",IF(OR(B346&lt;=0,B346&lt;&gt;INT(B346)),"Invalid date",IF(COUNTIFS(DemoHistory[Date],B346)&lt;&gt;1,"Duplicate date",IF(AND($A346&gt;1,B346&lt;=B345),"Dates out of order",IF(NOT(ISNUMBER(C346)),"Missing price",IF(C346&lt;=0,"Nonpositive price","OK")))))))))</f>
        <v/>
      </c>
      <c r="I346" s="136"/>
      <c r="J346" s="136"/>
      <c r="K346" s="136"/>
      <c r="L346" s="136"/>
      <c r="M346" s="136"/>
      <c r="N346" s="136" t="e">
        <f t="shared" si="13"/>
        <v>#N/A</v>
      </c>
      <c r="O346" s="136" t="e">
        <f t="shared" si="14"/>
        <v>#N/A</v>
      </c>
    </row>
    <row r="347" spans="1:15" ht="22.05" customHeight="1" x14ac:dyDescent="0.3">
      <c r="A347" s="136">
        <v>303</v>
      </c>
      <c r="B347" s="165" t="str">
        <f>IF($A347&gt;MIN($A$10,$A$2),"",INDEX(DemoHistory[Date],$A347))</f>
        <v/>
      </c>
      <c r="C347" s="166" t="str">
        <f>IF(OR($A347&gt;MIN($A$10,$A$2),$A$5=""),"",INDEX(DemoHistory[],$A347,MATCH($A$5,DemoHistory[#Headers],0)))</f>
        <v/>
      </c>
      <c r="D347" s="166" t="str">
        <f>IF($A347&gt;MIN($A$10,$A$2),"",IF(AND($A$12,$A$6=1,B347&lt;$A$7,$A$7&lt;=MAX(DemoHistory[Date])),$A$8,1))</f>
        <v/>
      </c>
      <c r="E347" s="166" t="str">
        <f t="shared" si="12"/>
        <v/>
      </c>
      <c r="F347" s="166" t="str">
        <f>IF($A347&gt;MIN($A$10,$A$2),"",IF($A347&lt;50,"n.a.",IF(COUNT(INDEX(StockDaily[Adjusted close],MAX(1,$A347-50+1)):E347)=50,AVERAGE(INDEX(StockDaily[Adjusted close],MAX(1,$A347-50+1)):E347),"n.a.")))</f>
        <v/>
      </c>
      <c r="G347" s="166" t="str">
        <f>IF($A347&gt;MIN($A$10,$A$2),"",IF($A347&lt;200,"n.a.",IF(COUNT(INDEX(StockDaily[Adjusted close],MAX(1,$A347-200+1)):E347)=200,AVERAGE(INDEX(StockDaily[Adjusted close],MAX(1,$A347-200+1)):E347),"n.a.")))</f>
        <v/>
      </c>
      <c r="H347" s="136" t="str">
        <f>IF($A347&gt;MIN($A$10,$A$2),"",IF($A$5="","Choose stock",IF(NOT($A$12),"Check split rule",IF(NOT(ISNUMBER(B347)),"Invalid date",IF(OR(B347&lt;=0,B347&lt;&gt;INT(B347)),"Invalid date",IF(COUNTIFS(DemoHistory[Date],B347)&lt;&gt;1,"Duplicate date",IF(AND($A347&gt;1,B347&lt;=B346),"Dates out of order",IF(NOT(ISNUMBER(C347)),"Missing price",IF(C347&lt;=0,"Nonpositive price","OK")))))))))</f>
        <v/>
      </c>
      <c r="I347" s="136"/>
      <c r="J347" s="136"/>
      <c r="K347" s="136"/>
      <c r="L347" s="136"/>
      <c r="M347" s="136"/>
      <c r="N347" s="136" t="e">
        <f t="shared" si="13"/>
        <v>#N/A</v>
      </c>
      <c r="O347" s="136" t="e">
        <f t="shared" si="14"/>
        <v>#N/A</v>
      </c>
    </row>
    <row r="348" spans="1:15" ht="22.05" customHeight="1" x14ac:dyDescent="0.3">
      <c r="A348" s="136">
        <v>304</v>
      </c>
      <c r="B348" s="165" t="str">
        <f>IF($A348&gt;MIN($A$10,$A$2),"",INDEX(DemoHistory[Date],$A348))</f>
        <v/>
      </c>
      <c r="C348" s="166" t="str">
        <f>IF(OR($A348&gt;MIN($A$10,$A$2),$A$5=""),"",INDEX(DemoHistory[],$A348,MATCH($A$5,DemoHistory[#Headers],0)))</f>
        <v/>
      </c>
      <c r="D348" s="166" t="str">
        <f>IF($A348&gt;MIN($A$10,$A$2),"",IF(AND($A$12,$A$6=1,B348&lt;$A$7,$A$7&lt;=MAX(DemoHistory[Date])),$A$8,1))</f>
        <v/>
      </c>
      <c r="E348" s="166" t="str">
        <f t="shared" si="12"/>
        <v/>
      </c>
      <c r="F348" s="166" t="str">
        <f>IF($A348&gt;MIN($A$10,$A$2),"",IF($A348&lt;50,"n.a.",IF(COUNT(INDEX(StockDaily[Adjusted close],MAX(1,$A348-50+1)):E348)=50,AVERAGE(INDEX(StockDaily[Adjusted close],MAX(1,$A348-50+1)):E348),"n.a.")))</f>
        <v/>
      </c>
      <c r="G348" s="166" t="str">
        <f>IF($A348&gt;MIN($A$10,$A$2),"",IF($A348&lt;200,"n.a.",IF(COUNT(INDEX(StockDaily[Adjusted close],MAX(1,$A348-200+1)):E348)=200,AVERAGE(INDEX(StockDaily[Adjusted close],MAX(1,$A348-200+1)):E348),"n.a.")))</f>
        <v/>
      </c>
      <c r="H348" s="136" t="str">
        <f>IF($A348&gt;MIN($A$10,$A$2),"",IF($A$5="","Choose stock",IF(NOT($A$12),"Check split rule",IF(NOT(ISNUMBER(B348)),"Invalid date",IF(OR(B348&lt;=0,B348&lt;&gt;INT(B348)),"Invalid date",IF(COUNTIFS(DemoHistory[Date],B348)&lt;&gt;1,"Duplicate date",IF(AND($A348&gt;1,B348&lt;=B347),"Dates out of order",IF(NOT(ISNUMBER(C348)),"Missing price",IF(C348&lt;=0,"Nonpositive price","OK")))))))))</f>
        <v/>
      </c>
      <c r="I348" s="136"/>
      <c r="J348" s="136"/>
      <c r="K348" s="136"/>
      <c r="L348" s="136"/>
      <c r="M348" s="136"/>
      <c r="N348" s="136" t="e">
        <f t="shared" si="13"/>
        <v>#N/A</v>
      </c>
      <c r="O348" s="136" t="e">
        <f t="shared" si="14"/>
        <v>#N/A</v>
      </c>
    </row>
    <row r="349" spans="1:15" ht="22.05" customHeight="1" x14ac:dyDescent="0.3">
      <c r="A349" s="136">
        <v>305</v>
      </c>
      <c r="B349" s="165" t="str">
        <f>IF($A349&gt;MIN($A$10,$A$2),"",INDEX(DemoHistory[Date],$A349))</f>
        <v/>
      </c>
      <c r="C349" s="166" t="str">
        <f>IF(OR($A349&gt;MIN($A$10,$A$2),$A$5=""),"",INDEX(DemoHistory[],$A349,MATCH($A$5,DemoHistory[#Headers],0)))</f>
        <v/>
      </c>
      <c r="D349" s="166" t="str">
        <f>IF($A349&gt;MIN($A$10,$A$2),"",IF(AND($A$12,$A$6=1,B349&lt;$A$7,$A$7&lt;=MAX(DemoHistory[Date])),$A$8,1))</f>
        <v/>
      </c>
      <c r="E349" s="166" t="str">
        <f t="shared" si="12"/>
        <v/>
      </c>
      <c r="F349" s="166" t="str">
        <f>IF($A349&gt;MIN($A$10,$A$2),"",IF($A349&lt;50,"n.a.",IF(COUNT(INDEX(StockDaily[Adjusted close],MAX(1,$A349-50+1)):E349)=50,AVERAGE(INDEX(StockDaily[Adjusted close],MAX(1,$A349-50+1)):E349),"n.a.")))</f>
        <v/>
      </c>
      <c r="G349" s="166" t="str">
        <f>IF($A349&gt;MIN($A$10,$A$2),"",IF($A349&lt;200,"n.a.",IF(COUNT(INDEX(StockDaily[Adjusted close],MAX(1,$A349-200+1)):E349)=200,AVERAGE(INDEX(StockDaily[Adjusted close],MAX(1,$A349-200+1)):E349),"n.a.")))</f>
        <v/>
      </c>
      <c r="H349" s="136" t="str">
        <f>IF($A349&gt;MIN($A$10,$A$2),"",IF($A$5="","Choose stock",IF(NOT($A$12),"Check split rule",IF(NOT(ISNUMBER(B349)),"Invalid date",IF(OR(B349&lt;=0,B349&lt;&gt;INT(B349)),"Invalid date",IF(COUNTIFS(DemoHistory[Date],B349)&lt;&gt;1,"Duplicate date",IF(AND($A349&gt;1,B349&lt;=B348),"Dates out of order",IF(NOT(ISNUMBER(C349)),"Missing price",IF(C349&lt;=0,"Nonpositive price","OK")))))))))</f>
        <v/>
      </c>
      <c r="I349" s="136"/>
      <c r="J349" s="136"/>
      <c r="K349" s="136"/>
      <c r="L349" s="136"/>
      <c r="M349" s="136"/>
      <c r="N349" s="136" t="e">
        <f t="shared" si="13"/>
        <v>#N/A</v>
      </c>
      <c r="O349" s="136" t="e">
        <f t="shared" si="14"/>
        <v>#N/A</v>
      </c>
    </row>
    <row r="350" spans="1:15" ht="22.05" customHeight="1" x14ac:dyDescent="0.3">
      <c r="A350" s="136">
        <v>306</v>
      </c>
      <c r="B350" s="165" t="str">
        <f>IF($A350&gt;MIN($A$10,$A$2),"",INDEX(DemoHistory[Date],$A350))</f>
        <v/>
      </c>
      <c r="C350" s="166" t="str">
        <f>IF(OR($A350&gt;MIN($A$10,$A$2),$A$5=""),"",INDEX(DemoHistory[],$A350,MATCH($A$5,DemoHistory[#Headers],0)))</f>
        <v/>
      </c>
      <c r="D350" s="166" t="str">
        <f>IF($A350&gt;MIN($A$10,$A$2),"",IF(AND($A$12,$A$6=1,B350&lt;$A$7,$A$7&lt;=MAX(DemoHistory[Date])),$A$8,1))</f>
        <v/>
      </c>
      <c r="E350" s="166" t="str">
        <f t="shared" si="12"/>
        <v/>
      </c>
      <c r="F350" s="166" t="str">
        <f>IF($A350&gt;MIN($A$10,$A$2),"",IF($A350&lt;50,"n.a.",IF(COUNT(INDEX(StockDaily[Adjusted close],MAX(1,$A350-50+1)):E350)=50,AVERAGE(INDEX(StockDaily[Adjusted close],MAX(1,$A350-50+1)):E350),"n.a.")))</f>
        <v/>
      </c>
      <c r="G350" s="166" t="str">
        <f>IF($A350&gt;MIN($A$10,$A$2),"",IF($A350&lt;200,"n.a.",IF(COUNT(INDEX(StockDaily[Adjusted close],MAX(1,$A350-200+1)):E350)=200,AVERAGE(INDEX(StockDaily[Adjusted close],MAX(1,$A350-200+1)):E350),"n.a.")))</f>
        <v/>
      </c>
      <c r="H350" s="136" t="str">
        <f>IF($A350&gt;MIN($A$10,$A$2),"",IF($A$5="","Choose stock",IF(NOT($A$12),"Check split rule",IF(NOT(ISNUMBER(B350)),"Invalid date",IF(OR(B350&lt;=0,B350&lt;&gt;INT(B350)),"Invalid date",IF(COUNTIFS(DemoHistory[Date],B350)&lt;&gt;1,"Duplicate date",IF(AND($A350&gt;1,B350&lt;=B349),"Dates out of order",IF(NOT(ISNUMBER(C350)),"Missing price",IF(C350&lt;=0,"Nonpositive price","OK")))))))))</f>
        <v/>
      </c>
      <c r="I350" s="136"/>
      <c r="J350" s="136"/>
      <c r="K350" s="136"/>
      <c r="L350" s="136"/>
      <c r="M350" s="136"/>
      <c r="N350" s="136" t="e">
        <f t="shared" si="13"/>
        <v>#N/A</v>
      </c>
      <c r="O350" s="136" t="e">
        <f t="shared" si="14"/>
        <v>#N/A</v>
      </c>
    </row>
    <row r="351" spans="1:15" ht="22.05" customHeight="1" x14ac:dyDescent="0.3">
      <c r="A351" s="136">
        <v>307</v>
      </c>
      <c r="B351" s="165" t="str">
        <f>IF($A351&gt;MIN($A$10,$A$2),"",INDEX(DemoHistory[Date],$A351))</f>
        <v/>
      </c>
      <c r="C351" s="166" t="str">
        <f>IF(OR($A351&gt;MIN($A$10,$A$2),$A$5=""),"",INDEX(DemoHistory[],$A351,MATCH($A$5,DemoHistory[#Headers],0)))</f>
        <v/>
      </c>
      <c r="D351" s="166" t="str">
        <f>IF($A351&gt;MIN($A$10,$A$2),"",IF(AND($A$12,$A$6=1,B351&lt;$A$7,$A$7&lt;=MAX(DemoHistory[Date])),$A$8,1))</f>
        <v/>
      </c>
      <c r="E351" s="166" t="str">
        <f t="shared" si="12"/>
        <v/>
      </c>
      <c r="F351" s="166" t="str">
        <f>IF($A351&gt;MIN($A$10,$A$2),"",IF($A351&lt;50,"n.a.",IF(COUNT(INDEX(StockDaily[Adjusted close],MAX(1,$A351-50+1)):E351)=50,AVERAGE(INDEX(StockDaily[Adjusted close],MAX(1,$A351-50+1)):E351),"n.a.")))</f>
        <v/>
      </c>
      <c r="G351" s="166" t="str">
        <f>IF($A351&gt;MIN($A$10,$A$2),"",IF($A351&lt;200,"n.a.",IF(COUNT(INDEX(StockDaily[Adjusted close],MAX(1,$A351-200+1)):E351)=200,AVERAGE(INDEX(StockDaily[Adjusted close],MAX(1,$A351-200+1)):E351),"n.a.")))</f>
        <v/>
      </c>
      <c r="H351" s="136" t="str">
        <f>IF($A351&gt;MIN($A$10,$A$2),"",IF($A$5="","Choose stock",IF(NOT($A$12),"Check split rule",IF(NOT(ISNUMBER(B351)),"Invalid date",IF(OR(B351&lt;=0,B351&lt;&gt;INT(B351)),"Invalid date",IF(COUNTIFS(DemoHistory[Date],B351)&lt;&gt;1,"Duplicate date",IF(AND($A351&gt;1,B351&lt;=B350),"Dates out of order",IF(NOT(ISNUMBER(C351)),"Missing price",IF(C351&lt;=0,"Nonpositive price","OK")))))))))</f>
        <v/>
      </c>
      <c r="I351" s="136"/>
      <c r="J351" s="136"/>
      <c r="K351" s="136"/>
      <c r="L351" s="136"/>
      <c r="M351" s="136"/>
      <c r="N351" s="136" t="e">
        <f t="shared" si="13"/>
        <v>#N/A</v>
      </c>
      <c r="O351" s="136" t="e">
        <f t="shared" si="14"/>
        <v>#N/A</v>
      </c>
    </row>
    <row r="352" spans="1:15" ht="22.05" customHeight="1" x14ac:dyDescent="0.3">
      <c r="A352" s="136">
        <v>308</v>
      </c>
      <c r="B352" s="165" t="str">
        <f>IF($A352&gt;MIN($A$10,$A$2),"",INDEX(DemoHistory[Date],$A352))</f>
        <v/>
      </c>
      <c r="C352" s="166" t="str">
        <f>IF(OR($A352&gt;MIN($A$10,$A$2),$A$5=""),"",INDEX(DemoHistory[],$A352,MATCH($A$5,DemoHistory[#Headers],0)))</f>
        <v/>
      </c>
      <c r="D352" s="166" t="str">
        <f>IF($A352&gt;MIN($A$10,$A$2),"",IF(AND($A$12,$A$6=1,B352&lt;$A$7,$A$7&lt;=MAX(DemoHistory[Date])),$A$8,1))</f>
        <v/>
      </c>
      <c r="E352" s="166" t="str">
        <f t="shared" si="12"/>
        <v/>
      </c>
      <c r="F352" s="166" t="str">
        <f>IF($A352&gt;MIN($A$10,$A$2),"",IF($A352&lt;50,"n.a.",IF(COUNT(INDEX(StockDaily[Adjusted close],MAX(1,$A352-50+1)):E352)=50,AVERAGE(INDEX(StockDaily[Adjusted close],MAX(1,$A352-50+1)):E352),"n.a.")))</f>
        <v/>
      </c>
      <c r="G352" s="166" t="str">
        <f>IF($A352&gt;MIN($A$10,$A$2),"",IF($A352&lt;200,"n.a.",IF(COUNT(INDEX(StockDaily[Adjusted close],MAX(1,$A352-200+1)):E352)=200,AVERAGE(INDEX(StockDaily[Adjusted close],MAX(1,$A352-200+1)):E352),"n.a.")))</f>
        <v/>
      </c>
      <c r="H352" s="136" t="str">
        <f>IF($A352&gt;MIN($A$10,$A$2),"",IF($A$5="","Choose stock",IF(NOT($A$12),"Check split rule",IF(NOT(ISNUMBER(B352)),"Invalid date",IF(OR(B352&lt;=0,B352&lt;&gt;INT(B352)),"Invalid date",IF(COUNTIFS(DemoHistory[Date],B352)&lt;&gt;1,"Duplicate date",IF(AND($A352&gt;1,B352&lt;=B351),"Dates out of order",IF(NOT(ISNUMBER(C352)),"Missing price",IF(C352&lt;=0,"Nonpositive price","OK")))))))))</f>
        <v/>
      </c>
      <c r="I352" s="136"/>
      <c r="J352" s="136"/>
      <c r="K352" s="136"/>
      <c r="L352" s="136"/>
      <c r="M352" s="136"/>
      <c r="N352" s="136" t="e">
        <f t="shared" si="13"/>
        <v>#N/A</v>
      </c>
      <c r="O352" s="136" t="e">
        <f t="shared" si="14"/>
        <v>#N/A</v>
      </c>
    </row>
    <row r="353" spans="1:15" ht="22.05" customHeight="1" x14ac:dyDescent="0.3">
      <c r="A353" s="136">
        <v>309</v>
      </c>
      <c r="B353" s="165" t="str">
        <f>IF($A353&gt;MIN($A$10,$A$2),"",INDEX(DemoHistory[Date],$A353))</f>
        <v/>
      </c>
      <c r="C353" s="166" t="str">
        <f>IF(OR($A353&gt;MIN($A$10,$A$2),$A$5=""),"",INDEX(DemoHistory[],$A353,MATCH($A$5,DemoHistory[#Headers],0)))</f>
        <v/>
      </c>
      <c r="D353" s="166" t="str">
        <f>IF($A353&gt;MIN($A$10,$A$2),"",IF(AND($A$12,$A$6=1,B353&lt;$A$7,$A$7&lt;=MAX(DemoHistory[Date])),$A$8,1))</f>
        <v/>
      </c>
      <c r="E353" s="166" t="str">
        <f t="shared" si="12"/>
        <v/>
      </c>
      <c r="F353" s="166" t="str">
        <f>IF($A353&gt;MIN($A$10,$A$2),"",IF($A353&lt;50,"n.a.",IF(COUNT(INDEX(StockDaily[Adjusted close],MAX(1,$A353-50+1)):E353)=50,AVERAGE(INDEX(StockDaily[Adjusted close],MAX(1,$A353-50+1)):E353),"n.a.")))</f>
        <v/>
      </c>
      <c r="G353" s="166" t="str">
        <f>IF($A353&gt;MIN($A$10,$A$2),"",IF($A353&lt;200,"n.a.",IF(COUNT(INDEX(StockDaily[Adjusted close],MAX(1,$A353-200+1)):E353)=200,AVERAGE(INDEX(StockDaily[Adjusted close],MAX(1,$A353-200+1)):E353),"n.a.")))</f>
        <v/>
      </c>
      <c r="H353" s="136" t="str">
        <f>IF($A353&gt;MIN($A$10,$A$2),"",IF($A$5="","Choose stock",IF(NOT($A$12),"Check split rule",IF(NOT(ISNUMBER(B353)),"Invalid date",IF(OR(B353&lt;=0,B353&lt;&gt;INT(B353)),"Invalid date",IF(COUNTIFS(DemoHistory[Date],B353)&lt;&gt;1,"Duplicate date",IF(AND($A353&gt;1,B353&lt;=B352),"Dates out of order",IF(NOT(ISNUMBER(C353)),"Missing price",IF(C353&lt;=0,"Nonpositive price","OK")))))))))</f>
        <v/>
      </c>
      <c r="I353" s="136"/>
      <c r="J353" s="136"/>
      <c r="K353" s="136"/>
      <c r="L353" s="136"/>
      <c r="M353" s="136"/>
      <c r="N353" s="136" t="e">
        <f t="shared" si="13"/>
        <v>#N/A</v>
      </c>
      <c r="O353" s="136" t="e">
        <f t="shared" si="14"/>
        <v>#N/A</v>
      </c>
    </row>
    <row r="354" spans="1:15" ht="22.05" customHeight="1" x14ac:dyDescent="0.3">
      <c r="A354" s="136">
        <v>310</v>
      </c>
      <c r="B354" s="165" t="str">
        <f>IF($A354&gt;MIN($A$10,$A$2),"",INDEX(DemoHistory[Date],$A354))</f>
        <v/>
      </c>
      <c r="C354" s="166" t="str">
        <f>IF(OR($A354&gt;MIN($A$10,$A$2),$A$5=""),"",INDEX(DemoHistory[],$A354,MATCH($A$5,DemoHistory[#Headers],0)))</f>
        <v/>
      </c>
      <c r="D354" s="166" t="str">
        <f>IF($A354&gt;MIN($A$10,$A$2),"",IF(AND($A$12,$A$6=1,B354&lt;$A$7,$A$7&lt;=MAX(DemoHistory[Date])),$A$8,1))</f>
        <v/>
      </c>
      <c r="E354" s="166" t="str">
        <f t="shared" si="12"/>
        <v/>
      </c>
      <c r="F354" s="166" t="str">
        <f>IF($A354&gt;MIN($A$10,$A$2),"",IF($A354&lt;50,"n.a.",IF(COUNT(INDEX(StockDaily[Adjusted close],MAX(1,$A354-50+1)):E354)=50,AVERAGE(INDEX(StockDaily[Adjusted close],MAX(1,$A354-50+1)):E354),"n.a.")))</f>
        <v/>
      </c>
      <c r="G354" s="166" t="str">
        <f>IF($A354&gt;MIN($A$10,$A$2),"",IF($A354&lt;200,"n.a.",IF(COUNT(INDEX(StockDaily[Adjusted close],MAX(1,$A354-200+1)):E354)=200,AVERAGE(INDEX(StockDaily[Adjusted close],MAX(1,$A354-200+1)):E354),"n.a.")))</f>
        <v/>
      </c>
      <c r="H354" s="136" t="str">
        <f>IF($A354&gt;MIN($A$10,$A$2),"",IF($A$5="","Choose stock",IF(NOT($A$12),"Check split rule",IF(NOT(ISNUMBER(B354)),"Invalid date",IF(OR(B354&lt;=0,B354&lt;&gt;INT(B354)),"Invalid date",IF(COUNTIFS(DemoHistory[Date],B354)&lt;&gt;1,"Duplicate date",IF(AND($A354&gt;1,B354&lt;=B353),"Dates out of order",IF(NOT(ISNUMBER(C354)),"Missing price",IF(C354&lt;=0,"Nonpositive price","OK")))))))))</f>
        <v/>
      </c>
      <c r="I354" s="136"/>
      <c r="J354" s="136"/>
      <c r="K354" s="136"/>
      <c r="L354" s="136"/>
      <c r="M354" s="136"/>
      <c r="N354" s="136" t="e">
        <f t="shared" si="13"/>
        <v>#N/A</v>
      </c>
      <c r="O354" s="136" t="e">
        <f t="shared" si="14"/>
        <v>#N/A</v>
      </c>
    </row>
    <row r="355" spans="1:15" ht="22.05" customHeight="1" x14ac:dyDescent="0.3">
      <c r="A355" s="136">
        <v>311</v>
      </c>
      <c r="B355" s="165" t="str">
        <f>IF($A355&gt;MIN($A$10,$A$2),"",INDEX(DemoHistory[Date],$A355))</f>
        <v/>
      </c>
      <c r="C355" s="166" t="str">
        <f>IF(OR($A355&gt;MIN($A$10,$A$2),$A$5=""),"",INDEX(DemoHistory[],$A355,MATCH($A$5,DemoHistory[#Headers],0)))</f>
        <v/>
      </c>
      <c r="D355" s="166" t="str">
        <f>IF($A355&gt;MIN($A$10,$A$2),"",IF(AND($A$12,$A$6=1,B355&lt;$A$7,$A$7&lt;=MAX(DemoHistory[Date])),$A$8,1))</f>
        <v/>
      </c>
      <c r="E355" s="166" t="str">
        <f t="shared" si="12"/>
        <v/>
      </c>
      <c r="F355" s="166" t="str">
        <f>IF($A355&gt;MIN($A$10,$A$2),"",IF($A355&lt;50,"n.a.",IF(COUNT(INDEX(StockDaily[Adjusted close],MAX(1,$A355-50+1)):E355)=50,AVERAGE(INDEX(StockDaily[Adjusted close],MAX(1,$A355-50+1)):E355),"n.a.")))</f>
        <v/>
      </c>
      <c r="G355" s="166" t="str">
        <f>IF($A355&gt;MIN($A$10,$A$2),"",IF($A355&lt;200,"n.a.",IF(COUNT(INDEX(StockDaily[Adjusted close],MAX(1,$A355-200+1)):E355)=200,AVERAGE(INDEX(StockDaily[Adjusted close],MAX(1,$A355-200+1)):E355),"n.a.")))</f>
        <v/>
      </c>
      <c r="H355" s="136" t="str">
        <f>IF($A355&gt;MIN($A$10,$A$2),"",IF($A$5="","Choose stock",IF(NOT($A$12),"Check split rule",IF(NOT(ISNUMBER(B355)),"Invalid date",IF(OR(B355&lt;=0,B355&lt;&gt;INT(B355)),"Invalid date",IF(COUNTIFS(DemoHistory[Date],B355)&lt;&gt;1,"Duplicate date",IF(AND($A355&gt;1,B355&lt;=B354),"Dates out of order",IF(NOT(ISNUMBER(C355)),"Missing price",IF(C355&lt;=0,"Nonpositive price","OK")))))))))</f>
        <v/>
      </c>
      <c r="I355" s="136"/>
      <c r="J355" s="136"/>
      <c r="K355" s="136"/>
      <c r="L355" s="136"/>
      <c r="M355" s="136"/>
      <c r="N355" s="136" t="e">
        <f t="shared" si="13"/>
        <v>#N/A</v>
      </c>
      <c r="O355" s="136" t="e">
        <f t="shared" si="14"/>
        <v>#N/A</v>
      </c>
    </row>
    <row r="356" spans="1:15" ht="22.05" customHeight="1" x14ac:dyDescent="0.3">
      <c r="A356" s="136">
        <v>312</v>
      </c>
      <c r="B356" s="165" t="str">
        <f>IF($A356&gt;MIN($A$10,$A$2),"",INDEX(DemoHistory[Date],$A356))</f>
        <v/>
      </c>
      <c r="C356" s="166" t="str">
        <f>IF(OR($A356&gt;MIN($A$10,$A$2),$A$5=""),"",INDEX(DemoHistory[],$A356,MATCH($A$5,DemoHistory[#Headers],0)))</f>
        <v/>
      </c>
      <c r="D356" s="166" t="str">
        <f>IF($A356&gt;MIN($A$10,$A$2),"",IF(AND($A$12,$A$6=1,B356&lt;$A$7,$A$7&lt;=MAX(DemoHistory[Date])),$A$8,1))</f>
        <v/>
      </c>
      <c r="E356" s="166" t="str">
        <f t="shared" si="12"/>
        <v/>
      </c>
      <c r="F356" s="166" t="str">
        <f>IF($A356&gt;MIN($A$10,$A$2),"",IF($A356&lt;50,"n.a.",IF(COUNT(INDEX(StockDaily[Adjusted close],MAX(1,$A356-50+1)):E356)=50,AVERAGE(INDEX(StockDaily[Adjusted close],MAX(1,$A356-50+1)):E356),"n.a.")))</f>
        <v/>
      </c>
      <c r="G356" s="166" t="str">
        <f>IF($A356&gt;MIN($A$10,$A$2),"",IF($A356&lt;200,"n.a.",IF(COUNT(INDEX(StockDaily[Adjusted close],MAX(1,$A356-200+1)):E356)=200,AVERAGE(INDEX(StockDaily[Adjusted close],MAX(1,$A356-200+1)):E356),"n.a.")))</f>
        <v/>
      </c>
      <c r="H356" s="136" t="str">
        <f>IF($A356&gt;MIN($A$10,$A$2),"",IF($A$5="","Choose stock",IF(NOT($A$12),"Check split rule",IF(NOT(ISNUMBER(B356)),"Invalid date",IF(OR(B356&lt;=0,B356&lt;&gt;INT(B356)),"Invalid date",IF(COUNTIFS(DemoHistory[Date],B356)&lt;&gt;1,"Duplicate date",IF(AND($A356&gt;1,B356&lt;=B355),"Dates out of order",IF(NOT(ISNUMBER(C356)),"Missing price",IF(C356&lt;=0,"Nonpositive price","OK")))))))))</f>
        <v/>
      </c>
      <c r="I356" s="136"/>
      <c r="J356" s="136"/>
      <c r="K356" s="136"/>
      <c r="L356" s="136"/>
      <c r="M356" s="136"/>
      <c r="N356" s="136" t="e">
        <f t="shared" si="13"/>
        <v>#N/A</v>
      </c>
      <c r="O356" s="136" t="e">
        <f t="shared" si="14"/>
        <v>#N/A</v>
      </c>
    </row>
    <row r="357" spans="1:15" ht="22.05" customHeight="1" x14ac:dyDescent="0.3">
      <c r="A357" s="136">
        <v>313</v>
      </c>
      <c r="B357" s="165" t="str">
        <f>IF($A357&gt;MIN($A$10,$A$2),"",INDEX(DemoHistory[Date],$A357))</f>
        <v/>
      </c>
      <c r="C357" s="166" t="str">
        <f>IF(OR($A357&gt;MIN($A$10,$A$2),$A$5=""),"",INDEX(DemoHistory[],$A357,MATCH($A$5,DemoHistory[#Headers],0)))</f>
        <v/>
      </c>
      <c r="D357" s="166" t="str">
        <f>IF($A357&gt;MIN($A$10,$A$2),"",IF(AND($A$12,$A$6=1,B357&lt;$A$7,$A$7&lt;=MAX(DemoHistory[Date])),$A$8,1))</f>
        <v/>
      </c>
      <c r="E357" s="166" t="str">
        <f t="shared" si="12"/>
        <v/>
      </c>
      <c r="F357" s="166" t="str">
        <f>IF($A357&gt;MIN($A$10,$A$2),"",IF($A357&lt;50,"n.a.",IF(COUNT(INDEX(StockDaily[Adjusted close],MAX(1,$A357-50+1)):E357)=50,AVERAGE(INDEX(StockDaily[Adjusted close],MAX(1,$A357-50+1)):E357),"n.a.")))</f>
        <v/>
      </c>
      <c r="G357" s="166" t="str">
        <f>IF($A357&gt;MIN($A$10,$A$2),"",IF($A357&lt;200,"n.a.",IF(COUNT(INDEX(StockDaily[Adjusted close],MAX(1,$A357-200+1)):E357)=200,AVERAGE(INDEX(StockDaily[Adjusted close],MAX(1,$A357-200+1)):E357),"n.a.")))</f>
        <v/>
      </c>
      <c r="H357" s="136" t="str">
        <f>IF($A357&gt;MIN($A$10,$A$2),"",IF($A$5="","Choose stock",IF(NOT($A$12),"Check split rule",IF(NOT(ISNUMBER(B357)),"Invalid date",IF(OR(B357&lt;=0,B357&lt;&gt;INT(B357)),"Invalid date",IF(COUNTIFS(DemoHistory[Date],B357)&lt;&gt;1,"Duplicate date",IF(AND($A357&gt;1,B357&lt;=B356),"Dates out of order",IF(NOT(ISNUMBER(C357)),"Missing price",IF(C357&lt;=0,"Nonpositive price","OK")))))))))</f>
        <v/>
      </c>
      <c r="I357" s="136"/>
      <c r="J357" s="136"/>
      <c r="K357" s="136"/>
      <c r="L357" s="136"/>
      <c r="M357" s="136"/>
      <c r="N357" s="136" t="e">
        <f t="shared" si="13"/>
        <v>#N/A</v>
      </c>
      <c r="O357" s="136" t="e">
        <f t="shared" si="14"/>
        <v>#N/A</v>
      </c>
    </row>
    <row r="358" spans="1:15" ht="22.05" customHeight="1" x14ac:dyDescent="0.3">
      <c r="A358" s="136">
        <v>314</v>
      </c>
      <c r="B358" s="165" t="str">
        <f>IF($A358&gt;MIN($A$10,$A$2),"",INDEX(DemoHistory[Date],$A358))</f>
        <v/>
      </c>
      <c r="C358" s="166" t="str">
        <f>IF(OR($A358&gt;MIN($A$10,$A$2),$A$5=""),"",INDEX(DemoHistory[],$A358,MATCH($A$5,DemoHistory[#Headers],0)))</f>
        <v/>
      </c>
      <c r="D358" s="166" t="str">
        <f>IF($A358&gt;MIN($A$10,$A$2),"",IF(AND($A$12,$A$6=1,B358&lt;$A$7,$A$7&lt;=MAX(DemoHistory[Date])),$A$8,1))</f>
        <v/>
      </c>
      <c r="E358" s="166" t="str">
        <f t="shared" si="12"/>
        <v/>
      </c>
      <c r="F358" s="166" t="str">
        <f>IF($A358&gt;MIN($A$10,$A$2),"",IF($A358&lt;50,"n.a.",IF(COUNT(INDEX(StockDaily[Adjusted close],MAX(1,$A358-50+1)):E358)=50,AVERAGE(INDEX(StockDaily[Adjusted close],MAX(1,$A358-50+1)):E358),"n.a.")))</f>
        <v/>
      </c>
      <c r="G358" s="166" t="str">
        <f>IF($A358&gt;MIN($A$10,$A$2),"",IF($A358&lt;200,"n.a.",IF(COUNT(INDEX(StockDaily[Adjusted close],MAX(1,$A358-200+1)):E358)=200,AVERAGE(INDEX(StockDaily[Adjusted close],MAX(1,$A358-200+1)):E358),"n.a.")))</f>
        <v/>
      </c>
      <c r="H358" s="136" t="str">
        <f>IF($A358&gt;MIN($A$10,$A$2),"",IF($A$5="","Choose stock",IF(NOT($A$12),"Check split rule",IF(NOT(ISNUMBER(B358)),"Invalid date",IF(OR(B358&lt;=0,B358&lt;&gt;INT(B358)),"Invalid date",IF(COUNTIFS(DemoHistory[Date],B358)&lt;&gt;1,"Duplicate date",IF(AND($A358&gt;1,B358&lt;=B357),"Dates out of order",IF(NOT(ISNUMBER(C358)),"Missing price",IF(C358&lt;=0,"Nonpositive price","OK")))))))))</f>
        <v/>
      </c>
      <c r="I358" s="136"/>
      <c r="J358" s="136"/>
      <c r="K358" s="136"/>
      <c r="L358" s="136"/>
      <c r="M358" s="136"/>
      <c r="N358" s="136" t="e">
        <f t="shared" si="13"/>
        <v>#N/A</v>
      </c>
      <c r="O358" s="136" t="e">
        <f t="shared" si="14"/>
        <v>#N/A</v>
      </c>
    </row>
    <row r="359" spans="1:15" ht="22.05" customHeight="1" x14ac:dyDescent="0.3">
      <c r="A359" s="136">
        <v>315</v>
      </c>
      <c r="B359" s="165" t="str">
        <f>IF($A359&gt;MIN($A$10,$A$2),"",INDEX(DemoHistory[Date],$A359))</f>
        <v/>
      </c>
      <c r="C359" s="166" t="str">
        <f>IF(OR($A359&gt;MIN($A$10,$A$2),$A$5=""),"",INDEX(DemoHistory[],$A359,MATCH($A$5,DemoHistory[#Headers],0)))</f>
        <v/>
      </c>
      <c r="D359" s="166" t="str">
        <f>IF($A359&gt;MIN($A$10,$A$2),"",IF(AND($A$12,$A$6=1,B359&lt;$A$7,$A$7&lt;=MAX(DemoHistory[Date])),$A$8,1))</f>
        <v/>
      </c>
      <c r="E359" s="166" t="str">
        <f t="shared" si="12"/>
        <v/>
      </c>
      <c r="F359" s="166" t="str">
        <f>IF($A359&gt;MIN($A$10,$A$2),"",IF($A359&lt;50,"n.a.",IF(COUNT(INDEX(StockDaily[Adjusted close],MAX(1,$A359-50+1)):E359)=50,AVERAGE(INDEX(StockDaily[Adjusted close],MAX(1,$A359-50+1)):E359),"n.a.")))</f>
        <v/>
      </c>
      <c r="G359" s="166" t="str">
        <f>IF($A359&gt;MIN($A$10,$A$2),"",IF($A359&lt;200,"n.a.",IF(COUNT(INDEX(StockDaily[Adjusted close],MAX(1,$A359-200+1)):E359)=200,AVERAGE(INDEX(StockDaily[Adjusted close],MAX(1,$A359-200+1)):E359),"n.a.")))</f>
        <v/>
      </c>
      <c r="H359" s="136" t="str">
        <f>IF($A359&gt;MIN($A$10,$A$2),"",IF($A$5="","Choose stock",IF(NOT($A$12),"Check split rule",IF(NOT(ISNUMBER(B359)),"Invalid date",IF(OR(B359&lt;=0,B359&lt;&gt;INT(B359)),"Invalid date",IF(COUNTIFS(DemoHistory[Date],B359)&lt;&gt;1,"Duplicate date",IF(AND($A359&gt;1,B359&lt;=B358),"Dates out of order",IF(NOT(ISNUMBER(C359)),"Missing price",IF(C359&lt;=0,"Nonpositive price","OK")))))))))</f>
        <v/>
      </c>
      <c r="I359" s="136"/>
      <c r="J359" s="136"/>
      <c r="K359" s="136"/>
      <c r="L359" s="136"/>
      <c r="M359" s="136"/>
      <c r="N359" s="136" t="e">
        <f t="shared" si="13"/>
        <v>#N/A</v>
      </c>
      <c r="O359" s="136" t="e">
        <f t="shared" si="14"/>
        <v>#N/A</v>
      </c>
    </row>
    <row r="360" spans="1:15" ht="22.05" customHeight="1" x14ac:dyDescent="0.3">
      <c r="A360" s="136">
        <v>316</v>
      </c>
      <c r="B360" s="165" t="str">
        <f>IF($A360&gt;MIN($A$10,$A$2),"",INDEX(DemoHistory[Date],$A360))</f>
        <v/>
      </c>
      <c r="C360" s="166" t="str">
        <f>IF(OR($A360&gt;MIN($A$10,$A$2),$A$5=""),"",INDEX(DemoHistory[],$A360,MATCH($A$5,DemoHistory[#Headers],0)))</f>
        <v/>
      </c>
      <c r="D360" s="166" t="str">
        <f>IF($A360&gt;MIN($A$10,$A$2),"",IF(AND($A$12,$A$6=1,B360&lt;$A$7,$A$7&lt;=MAX(DemoHistory[Date])),$A$8,1))</f>
        <v/>
      </c>
      <c r="E360" s="166" t="str">
        <f t="shared" si="12"/>
        <v/>
      </c>
      <c r="F360" s="166" t="str">
        <f>IF($A360&gt;MIN($A$10,$A$2),"",IF($A360&lt;50,"n.a.",IF(COUNT(INDEX(StockDaily[Adjusted close],MAX(1,$A360-50+1)):E360)=50,AVERAGE(INDEX(StockDaily[Adjusted close],MAX(1,$A360-50+1)):E360),"n.a.")))</f>
        <v/>
      </c>
      <c r="G360" s="166" t="str">
        <f>IF($A360&gt;MIN($A$10,$A$2),"",IF($A360&lt;200,"n.a.",IF(COUNT(INDEX(StockDaily[Adjusted close],MAX(1,$A360-200+1)):E360)=200,AVERAGE(INDEX(StockDaily[Adjusted close],MAX(1,$A360-200+1)):E360),"n.a.")))</f>
        <v/>
      </c>
      <c r="H360" s="136" t="str">
        <f>IF($A360&gt;MIN($A$10,$A$2),"",IF($A$5="","Choose stock",IF(NOT($A$12),"Check split rule",IF(NOT(ISNUMBER(B360)),"Invalid date",IF(OR(B360&lt;=0,B360&lt;&gt;INT(B360)),"Invalid date",IF(COUNTIFS(DemoHistory[Date],B360)&lt;&gt;1,"Duplicate date",IF(AND($A360&gt;1,B360&lt;=B359),"Dates out of order",IF(NOT(ISNUMBER(C360)),"Missing price",IF(C360&lt;=0,"Nonpositive price","OK")))))))))</f>
        <v/>
      </c>
      <c r="I360" s="136"/>
      <c r="J360" s="136"/>
      <c r="K360" s="136"/>
      <c r="L360" s="136"/>
      <c r="M360" s="136"/>
      <c r="N360" s="136" t="e">
        <f t="shared" si="13"/>
        <v>#N/A</v>
      </c>
      <c r="O360" s="136" t="e">
        <f t="shared" si="14"/>
        <v>#N/A</v>
      </c>
    </row>
    <row r="361" spans="1:15" ht="22.05" customHeight="1" x14ac:dyDescent="0.3">
      <c r="A361" s="136">
        <v>317</v>
      </c>
      <c r="B361" s="165" t="str">
        <f>IF($A361&gt;MIN($A$10,$A$2),"",INDEX(DemoHistory[Date],$A361))</f>
        <v/>
      </c>
      <c r="C361" s="166" t="str">
        <f>IF(OR($A361&gt;MIN($A$10,$A$2),$A$5=""),"",INDEX(DemoHistory[],$A361,MATCH($A$5,DemoHistory[#Headers],0)))</f>
        <v/>
      </c>
      <c r="D361" s="166" t="str">
        <f>IF($A361&gt;MIN($A$10,$A$2),"",IF(AND($A$12,$A$6=1,B361&lt;$A$7,$A$7&lt;=MAX(DemoHistory[Date])),$A$8,1))</f>
        <v/>
      </c>
      <c r="E361" s="166" t="str">
        <f t="shared" si="12"/>
        <v/>
      </c>
      <c r="F361" s="166" t="str">
        <f>IF($A361&gt;MIN($A$10,$A$2),"",IF($A361&lt;50,"n.a.",IF(COUNT(INDEX(StockDaily[Adjusted close],MAX(1,$A361-50+1)):E361)=50,AVERAGE(INDEX(StockDaily[Adjusted close],MAX(1,$A361-50+1)):E361),"n.a.")))</f>
        <v/>
      </c>
      <c r="G361" s="166" t="str">
        <f>IF($A361&gt;MIN($A$10,$A$2),"",IF($A361&lt;200,"n.a.",IF(COUNT(INDEX(StockDaily[Adjusted close],MAX(1,$A361-200+1)):E361)=200,AVERAGE(INDEX(StockDaily[Adjusted close],MAX(1,$A361-200+1)):E361),"n.a.")))</f>
        <v/>
      </c>
      <c r="H361" s="136" t="str">
        <f>IF($A361&gt;MIN($A$10,$A$2),"",IF($A$5="","Choose stock",IF(NOT($A$12),"Check split rule",IF(NOT(ISNUMBER(B361)),"Invalid date",IF(OR(B361&lt;=0,B361&lt;&gt;INT(B361)),"Invalid date",IF(COUNTIFS(DemoHistory[Date],B361)&lt;&gt;1,"Duplicate date",IF(AND($A361&gt;1,B361&lt;=B360),"Dates out of order",IF(NOT(ISNUMBER(C361)),"Missing price",IF(C361&lt;=0,"Nonpositive price","OK")))))))))</f>
        <v/>
      </c>
      <c r="I361" s="136"/>
      <c r="J361" s="136"/>
      <c r="K361" s="136"/>
      <c r="L361" s="136"/>
      <c r="M361" s="136"/>
      <c r="N361" s="136" t="e">
        <f t="shared" si="13"/>
        <v>#N/A</v>
      </c>
      <c r="O361" s="136" t="e">
        <f t="shared" si="14"/>
        <v>#N/A</v>
      </c>
    </row>
    <row r="362" spans="1:15" ht="22.05" customHeight="1" x14ac:dyDescent="0.3">
      <c r="A362" s="136">
        <v>318</v>
      </c>
      <c r="B362" s="165" t="str">
        <f>IF($A362&gt;MIN($A$10,$A$2),"",INDEX(DemoHistory[Date],$A362))</f>
        <v/>
      </c>
      <c r="C362" s="166" t="str">
        <f>IF(OR($A362&gt;MIN($A$10,$A$2),$A$5=""),"",INDEX(DemoHistory[],$A362,MATCH($A$5,DemoHistory[#Headers],0)))</f>
        <v/>
      </c>
      <c r="D362" s="166" t="str">
        <f>IF($A362&gt;MIN($A$10,$A$2),"",IF(AND($A$12,$A$6=1,B362&lt;$A$7,$A$7&lt;=MAX(DemoHistory[Date])),$A$8,1))</f>
        <v/>
      </c>
      <c r="E362" s="166" t="str">
        <f t="shared" si="12"/>
        <v/>
      </c>
      <c r="F362" s="166" t="str">
        <f>IF($A362&gt;MIN($A$10,$A$2),"",IF($A362&lt;50,"n.a.",IF(COUNT(INDEX(StockDaily[Adjusted close],MAX(1,$A362-50+1)):E362)=50,AVERAGE(INDEX(StockDaily[Adjusted close],MAX(1,$A362-50+1)):E362),"n.a.")))</f>
        <v/>
      </c>
      <c r="G362" s="166" t="str">
        <f>IF($A362&gt;MIN($A$10,$A$2),"",IF($A362&lt;200,"n.a.",IF(COUNT(INDEX(StockDaily[Adjusted close],MAX(1,$A362-200+1)):E362)=200,AVERAGE(INDEX(StockDaily[Adjusted close],MAX(1,$A362-200+1)):E362),"n.a.")))</f>
        <v/>
      </c>
      <c r="H362" s="136" t="str">
        <f>IF($A362&gt;MIN($A$10,$A$2),"",IF($A$5="","Choose stock",IF(NOT($A$12),"Check split rule",IF(NOT(ISNUMBER(B362)),"Invalid date",IF(OR(B362&lt;=0,B362&lt;&gt;INT(B362)),"Invalid date",IF(COUNTIFS(DemoHistory[Date],B362)&lt;&gt;1,"Duplicate date",IF(AND($A362&gt;1,B362&lt;=B361),"Dates out of order",IF(NOT(ISNUMBER(C362)),"Missing price",IF(C362&lt;=0,"Nonpositive price","OK")))))))))</f>
        <v/>
      </c>
      <c r="I362" s="136"/>
      <c r="J362" s="136"/>
      <c r="K362" s="136"/>
      <c r="L362" s="136"/>
      <c r="M362" s="136"/>
      <c r="N362" s="136" t="e">
        <f t="shared" si="13"/>
        <v>#N/A</v>
      </c>
      <c r="O362" s="136" t="e">
        <f t="shared" si="14"/>
        <v>#N/A</v>
      </c>
    </row>
    <row r="363" spans="1:15" ht="22.05" customHeight="1" x14ac:dyDescent="0.3">
      <c r="A363" s="136">
        <v>319</v>
      </c>
      <c r="B363" s="165" t="str">
        <f>IF($A363&gt;MIN($A$10,$A$2),"",INDEX(DemoHistory[Date],$A363))</f>
        <v/>
      </c>
      <c r="C363" s="166" t="str">
        <f>IF(OR($A363&gt;MIN($A$10,$A$2),$A$5=""),"",INDEX(DemoHistory[],$A363,MATCH($A$5,DemoHistory[#Headers],0)))</f>
        <v/>
      </c>
      <c r="D363" s="166" t="str">
        <f>IF($A363&gt;MIN($A$10,$A$2),"",IF(AND($A$12,$A$6=1,B363&lt;$A$7,$A$7&lt;=MAX(DemoHistory[Date])),$A$8,1))</f>
        <v/>
      </c>
      <c r="E363" s="166" t="str">
        <f t="shared" si="12"/>
        <v/>
      </c>
      <c r="F363" s="166" t="str">
        <f>IF($A363&gt;MIN($A$10,$A$2),"",IF($A363&lt;50,"n.a.",IF(COUNT(INDEX(StockDaily[Adjusted close],MAX(1,$A363-50+1)):E363)=50,AVERAGE(INDEX(StockDaily[Adjusted close],MAX(1,$A363-50+1)):E363),"n.a.")))</f>
        <v/>
      </c>
      <c r="G363" s="166" t="str">
        <f>IF($A363&gt;MIN($A$10,$A$2),"",IF($A363&lt;200,"n.a.",IF(COUNT(INDEX(StockDaily[Adjusted close],MAX(1,$A363-200+1)):E363)=200,AVERAGE(INDEX(StockDaily[Adjusted close],MAX(1,$A363-200+1)):E363),"n.a.")))</f>
        <v/>
      </c>
      <c r="H363" s="136" t="str">
        <f>IF($A363&gt;MIN($A$10,$A$2),"",IF($A$5="","Choose stock",IF(NOT($A$12),"Check split rule",IF(NOT(ISNUMBER(B363)),"Invalid date",IF(OR(B363&lt;=0,B363&lt;&gt;INT(B363)),"Invalid date",IF(COUNTIFS(DemoHistory[Date],B363)&lt;&gt;1,"Duplicate date",IF(AND($A363&gt;1,B363&lt;=B362),"Dates out of order",IF(NOT(ISNUMBER(C363)),"Missing price",IF(C363&lt;=0,"Nonpositive price","OK")))))))))</f>
        <v/>
      </c>
      <c r="I363" s="136"/>
      <c r="J363" s="136"/>
      <c r="K363" s="136"/>
      <c r="L363" s="136"/>
      <c r="M363" s="136"/>
      <c r="N363" s="136" t="e">
        <f t="shared" si="13"/>
        <v>#N/A</v>
      </c>
      <c r="O363" s="136" t="e">
        <f t="shared" si="14"/>
        <v>#N/A</v>
      </c>
    </row>
    <row r="364" spans="1:15" ht="22.05" customHeight="1" x14ac:dyDescent="0.3">
      <c r="A364" s="136">
        <v>320</v>
      </c>
      <c r="B364" s="165" t="str">
        <f>IF($A364&gt;MIN($A$10,$A$2),"",INDEX(DemoHistory[Date],$A364))</f>
        <v/>
      </c>
      <c r="C364" s="166" t="str">
        <f>IF(OR($A364&gt;MIN($A$10,$A$2),$A$5=""),"",INDEX(DemoHistory[],$A364,MATCH($A$5,DemoHistory[#Headers],0)))</f>
        <v/>
      </c>
      <c r="D364" s="166" t="str">
        <f>IF($A364&gt;MIN($A$10,$A$2),"",IF(AND($A$12,$A$6=1,B364&lt;$A$7,$A$7&lt;=MAX(DemoHistory[Date])),$A$8,1))</f>
        <v/>
      </c>
      <c r="E364" s="166" t="str">
        <f t="shared" si="12"/>
        <v/>
      </c>
      <c r="F364" s="166" t="str">
        <f>IF($A364&gt;MIN($A$10,$A$2),"",IF($A364&lt;50,"n.a.",IF(COUNT(INDEX(StockDaily[Adjusted close],MAX(1,$A364-50+1)):E364)=50,AVERAGE(INDEX(StockDaily[Adjusted close],MAX(1,$A364-50+1)):E364),"n.a.")))</f>
        <v/>
      </c>
      <c r="G364" s="166" t="str">
        <f>IF($A364&gt;MIN($A$10,$A$2),"",IF($A364&lt;200,"n.a.",IF(COUNT(INDEX(StockDaily[Adjusted close],MAX(1,$A364-200+1)):E364)=200,AVERAGE(INDEX(StockDaily[Adjusted close],MAX(1,$A364-200+1)):E364),"n.a.")))</f>
        <v/>
      </c>
      <c r="H364" s="136" t="str">
        <f>IF($A364&gt;MIN($A$10,$A$2),"",IF($A$5="","Choose stock",IF(NOT($A$12),"Check split rule",IF(NOT(ISNUMBER(B364)),"Invalid date",IF(OR(B364&lt;=0,B364&lt;&gt;INT(B364)),"Invalid date",IF(COUNTIFS(DemoHistory[Date],B364)&lt;&gt;1,"Duplicate date",IF(AND($A364&gt;1,B364&lt;=B363),"Dates out of order",IF(NOT(ISNUMBER(C364)),"Missing price",IF(C364&lt;=0,"Nonpositive price","OK")))))))))</f>
        <v/>
      </c>
      <c r="I364" s="136"/>
      <c r="J364" s="136"/>
      <c r="K364" s="136"/>
      <c r="L364" s="136"/>
      <c r="M364" s="136"/>
      <c r="N364" s="136" t="e">
        <f t="shared" si="13"/>
        <v>#N/A</v>
      </c>
      <c r="O364" s="136" t="e">
        <f t="shared" si="14"/>
        <v>#N/A</v>
      </c>
    </row>
    <row r="365" spans="1:15" ht="22.05" customHeight="1" x14ac:dyDescent="0.3">
      <c r="A365" s="136">
        <v>321</v>
      </c>
      <c r="B365" s="165" t="str">
        <f>IF($A365&gt;MIN($A$10,$A$2),"",INDEX(DemoHistory[Date],$A365))</f>
        <v/>
      </c>
      <c r="C365" s="166" t="str">
        <f>IF(OR($A365&gt;MIN($A$10,$A$2),$A$5=""),"",INDEX(DemoHistory[],$A365,MATCH($A$5,DemoHistory[#Headers],0)))</f>
        <v/>
      </c>
      <c r="D365" s="166" t="str">
        <f>IF($A365&gt;MIN($A$10,$A$2),"",IF(AND($A$12,$A$6=1,B365&lt;$A$7,$A$7&lt;=MAX(DemoHistory[Date])),$A$8,1))</f>
        <v/>
      </c>
      <c r="E365" s="166" t="str">
        <f t="shared" ref="E365:E428" si="15">IF($A365&gt;MIN($A$10,$A$2),"",IF(H365="OK",C365/D365,"n.a."))</f>
        <v/>
      </c>
      <c r="F365" s="166" t="str">
        <f>IF($A365&gt;MIN($A$10,$A$2),"",IF($A365&lt;50,"n.a.",IF(COUNT(INDEX(StockDaily[Adjusted close],MAX(1,$A365-50+1)):E365)=50,AVERAGE(INDEX(StockDaily[Adjusted close],MAX(1,$A365-50+1)):E365),"n.a.")))</f>
        <v/>
      </c>
      <c r="G365" s="166" t="str">
        <f>IF($A365&gt;MIN($A$10,$A$2),"",IF($A365&lt;200,"n.a.",IF(COUNT(INDEX(StockDaily[Adjusted close],MAX(1,$A365-200+1)):E365)=200,AVERAGE(INDEX(StockDaily[Adjusted close],MAX(1,$A365-200+1)):E365),"n.a.")))</f>
        <v/>
      </c>
      <c r="H365" s="136" t="str">
        <f>IF($A365&gt;MIN($A$10,$A$2),"",IF($A$5="","Choose stock",IF(NOT($A$12),"Check split rule",IF(NOT(ISNUMBER(B365)),"Invalid date",IF(OR(B365&lt;=0,B365&lt;&gt;INT(B365)),"Invalid date",IF(COUNTIFS(DemoHistory[Date],B365)&lt;&gt;1,"Duplicate date",IF(AND($A365&gt;1,B365&lt;=B364),"Dates out of order",IF(NOT(ISNUMBER(C365)),"Missing price",IF(C365&lt;=0,"Nonpositive price","OK")))))))))</f>
        <v/>
      </c>
      <c r="I365" s="136"/>
      <c r="J365" s="136"/>
      <c r="K365" s="136"/>
      <c r="L365" s="136"/>
      <c r="M365" s="136"/>
      <c r="N365" s="136" t="e">
        <f t="shared" ref="N365:N428" si="16">IF(AND($A$13="Ready",ISNUMBER(E365)),E365,NA())</f>
        <v>#N/A</v>
      </c>
      <c r="O365" s="136" t="e">
        <f t="shared" ref="O365:O428" si="17">IF(AND($A$13="Ready",ISNUMBER(F365)),F365,NA())</f>
        <v>#N/A</v>
      </c>
    </row>
    <row r="366" spans="1:15" ht="22.05" customHeight="1" x14ac:dyDescent="0.3">
      <c r="A366" s="136">
        <v>322</v>
      </c>
      <c r="B366" s="165" t="str">
        <f>IF($A366&gt;MIN($A$10,$A$2),"",INDEX(DemoHistory[Date],$A366))</f>
        <v/>
      </c>
      <c r="C366" s="166" t="str">
        <f>IF(OR($A366&gt;MIN($A$10,$A$2),$A$5=""),"",INDEX(DemoHistory[],$A366,MATCH($A$5,DemoHistory[#Headers],0)))</f>
        <v/>
      </c>
      <c r="D366" s="166" t="str">
        <f>IF($A366&gt;MIN($A$10,$A$2),"",IF(AND($A$12,$A$6=1,B366&lt;$A$7,$A$7&lt;=MAX(DemoHistory[Date])),$A$8,1))</f>
        <v/>
      </c>
      <c r="E366" s="166" t="str">
        <f t="shared" si="15"/>
        <v/>
      </c>
      <c r="F366" s="166" t="str">
        <f>IF($A366&gt;MIN($A$10,$A$2),"",IF($A366&lt;50,"n.a.",IF(COUNT(INDEX(StockDaily[Adjusted close],MAX(1,$A366-50+1)):E366)=50,AVERAGE(INDEX(StockDaily[Adjusted close],MAX(1,$A366-50+1)):E366),"n.a.")))</f>
        <v/>
      </c>
      <c r="G366" s="166" t="str">
        <f>IF($A366&gt;MIN($A$10,$A$2),"",IF($A366&lt;200,"n.a.",IF(COUNT(INDEX(StockDaily[Adjusted close],MAX(1,$A366-200+1)):E366)=200,AVERAGE(INDEX(StockDaily[Adjusted close],MAX(1,$A366-200+1)):E366),"n.a.")))</f>
        <v/>
      </c>
      <c r="H366" s="136" t="str">
        <f>IF($A366&gt;MIN($A$10,$A$2),"",IF($A$5="","Choose stock",IF(NOT($A$12),"Check split rule",IF(NOT(ISNUMBER(B366)),"Invalid date",IF(OR(B366&lt;=0,B366&lt;&gt;INT(B366)),"Invalid date",IF(COUNTIFS(DemoHistory[Date],B366)&lt;&gt;1,"Duplicate date",IF(AND($A366&gt;1,B366&lt;=B365),"Dates out of order",IF(NOT(ISNUMBER(C366)),"Missing price",IF(C366&lt;=0,"Nonpositive price","OK")))))))))</f>
        <v/>
      </c>
      <c r="I366" s="136"/>
      <c r="J366" s="136"/>
      <c r="K366" s="136"/>
      <c r="L366" s="136"/>
      <c r="M366" s="136"/>
      <c r="N366" s="136" t="e">
        <f t="shared" si="16"/>
        <v>#N/A</v>
      </c>
      <c r="O366" s="136" t="e">
        <f t="shared" si="17"/>
        <v>#N/A</v>
      </c>
    </row>
    <row r="367" spans="1:15" ht="22.05" customHeight="1" x14ac:dyDescent="0.3">
      <c r="A367" s="136">
        <v>323</v>
      </c>
      <c r="B367" s="165" t="str">
        <f>IF($A367&gt;MIN($A$10,$A$2),"",INDEX(DemoHistory[Date],$A367))</f>
        <v/>
      </c>
      <c r="C367" s="166" t="str">
        <f>IF(OR($A367&gt;MIN($A$10,$A$2),$A$5=""),"",INDEX(DemoHistory[],$A367,MATCH($A$5,DemoHistory[#Headers],0)))</f>
        <v/>
      </c>
      <c r="D367" s="166" t="str">
        <f>IF($A367&gt;MIN($A$10,$A$2),"",IF(AND($A$12,$A$6=1,B367&lt;$A$7,$A$7&lt;=MAX(DemoHistory[Date])),$A$8,1))</f>
        <v/>
      </c>
      <c r="E367" s="166" t="str">
        <f t="shared" si="15"/>
        <v/>
      </c>
      <c r="F367" s="166" t="str">
        <f>IF($A367&gt;MIN($A$10,$A$2),"",IF($A367&lt;50,"n.a.",IF(COUNT(INDEX(StockDaily[Adjusted close],MAX(1,$A367-50+1)):E367)=50,AVERAGE(INDEX(StockDaily[Adjusted close],MAX(1,$A367-50+1)):E367),"n.a.")))</f>
        <v/>
      </c>
      <c r="G367" s="166" t="str">
        <f>IF($A367&gt;MIN($A$10,$A$2),"",IF($A367&lt;200,"n.a.",IF(COUNT(INDEX(StockDaily[Adjusted close],MAX(1,$A367-200+1)):E367)=200,AVERAGE(INDEX(StockDaily[Adjusted close],MAX(1,$A367-200+1)):E367),"n.a.")))</f>
        <v/>
      </c>
      <c r="H367" s="136" t="str">
        <f>IF($A367&gt;MIN($A$10,$A$2),"",IF($A$5="","Choose stock",IF(NOT($A$12),"Check split rule",IF(NOT(ISNUMBER(B367)),"Invalid date",IF(OR(B367&lt;=0,B367&lt;&gt;INT(B367)),"Invalid date",IF(COUNTIFS(DemoHistory[Date],B367)&lt;&gt;1,"Duplicate date",IF(AND($A367&gt;1,B367&lt;=B366),"Dates out of order",IF(NOT(ISNUMBER(C367)),"Missing price",IF(C367&lt;=0,"Nonpositive price","OK")))))))))</f>
        <v/>
      </c>
      <c r="I367" s="136"/>
      <c r="J367" s="136"/>
      <c r="K367" s="136"/>
      <c r="L367" s="136"/>
      <c r="M367" s="136"/>
      <c r="N367" s="136" t="e">
        <f t="shared" si="16"/>
        <v>#N/A</v>
      </c>
      <c r="O367" s="136" t="e">
        <f t="shared" si="17"/>
        <v>#N/A</v>
      </c>
    </row>
    <row r="368" spans="1:15" ht="22.05" customHeight="1" x14ac:dyDescent="0.3">
      <c r="A368" s="136">
        <v>324</v>
      </c>
      <c r="B368" s="165" t="str">
        <f>IF($A368&gt;MIN($A$10,$A$2),"",INDEX(DemoHistory[Date],$A368))</f>
        <v/>
      </c>
      <c r="C368" s="166" t="str">
        <f>IF(OR($A368&gt;MIN($A$10,$A$2),$A$5=""),"",INDEX(DemoHistory[],$A368,MATCH($A$5,DemoHistory[#Headers],0)))</f>
        <v/>
      </c>
      <c r="D368" s="166" t="str">
        <f>IF($A368&gt;MIN($A$10,$A$2),"",IF(AND($A$12,$A$6=1,B368&lt;$A$7,$A$7&lt;=MAX(DemoHistory[Date])),$A$8,1))</f>
        <v/>
      </c>
      <c r="E368" s="166" t="str">
        <f t="shared" si="15"/>
        <v/>
      </c>
      <c r="F368" s="166" t="str">
        <f>IF($A368&gt;MIN($A$10,$A$2),"",IF($A368&lt;50,"n.a.",IF(COUNT(INDEX(StockDaily[Adjusted close],MAX(1,$A368-50+1)):E368)=50,AVERAGE(INDEX(StockDaily[Adjusted close],MAX(1,$A368-50+1)):E368),"n.a.")))</f>
        <v/>
      </c>
      <c r="G368" s="166" t="str">
        <f>IF($A368&gt;MIN($A$10,$A$2),"",IF($A368&lt;200,"n.a.",IF(COUNT(INDEX(StockDaily[Adjusted close],MAX(1,$A368-200+1)):E368)=200,AVERAGE(INDEX(StockDaily[Adjusted close],MAX(1,$A368-200+1)):E368),"n.a.")))</f>
        <v/>
      </c>
      <c r="H368" s="136" t="str">
        <f>IF($A368&gt;MIN($A$10,$A$2),"",IF($A$5="","Choose stock",IF(NOT($A$12),"Check split rule",IF(NOT(ISNUMBER(B368)),"Invalid date",IF(OR(B368&lt;=0,B368&lt;&gt;INT(B368)),"Invalid date",IF(COUNTIFS(DemoHistory[Date],B368)&lt;&gt;1,"Duplicate date",IF(AND($A368&gt;1,B368&lt;=B367),"Dates out of order",IF(NOT(ISNUMBER(C368)),"Missing price",IF(C368&lt;=0,"Nonpositive price","OK")))))))))</f>
        <v/>
      </c>
      <c r="I368" s="136"/>
      <c r="J368" s="136"/>
      <c r="K368" s="136"/>
      <c r="L368" s="136"/>
      <c r="M368" s="136"/>
      <c r="N368" s="136" t="e">
        <f t="shared" si="16"/>
        <v>#N/A</v>
      </c>
      <c r="O368" s="136" t="e">
        <f t="shared" si="17"/>
        <v>#N/A</v>
      </c>
    </row>
    <row r="369" spans="1:15" ht="22.05" customHeight="1" x14ac:dyDescent="0.3">
      <c r="A369" s="136">
        <v>325</v>
      </c>
      <c r="B369" s="165" t="str">
        <f>IF($A369&gt;MIN($A$10,$A$2),"",INDEX(DemoHistory[Date],$A369))</f>
        <v/>
      </c>
      <c r="C369" s="166" t="str">
        <f>IF(OR($A369&gt;MIN($A$10,$A$2),$A$5=""),"",INDEX(DemoHistory[],$A369,MATCH($A$5,DemoHistory[#Headers],0)))</f>
        <v/>
      </c>
      <c r="D369" s="166" t="str">
        <f>IF($A369&gt;MIN($A$10,$A$2),"",IF(AND($A$12,$A$6=1,B369&lt;$A$7,$A$7&lt;=MAX(DemoHistory[Date])),$A$8,1))</f>
        <v/>
      </c>
      <c r="E369" s="166" t="str">
        <f t="shared" si="15"/>
        <v/>
      </c>
      <c r="F369" s="166" t="str">
        <f>IF($A369&gt;MIN($A$10,$A$2),"",IF($A369&lt;50,"n.a.",IF(COUNT(INDEX(StockDaily[Adjusted close],MAX(1,$A369-50+1)):E369)=50,AVERAGE(INDEX(StockDaily[Adjusted close],MAX(1,$A369-50+1)):E369),"n.a.")))</f>
        <v/>
      </c>
      <c r="G369" s="166" t="str">
        <f>IF($A369&gt;MIN($A$10,$A$2),"",IF($A369&lt;200,"n.a.",IF(COUNT(INDEX(StockDaily[Adjusted close],MAX(1,$A369-200+1)):E369)=200,AVERAGE(INDEX(StockDaily[Adjusted close],MAX(1,$A369-200+1)):E369),"n.a.")))</f>
        <v/>
      </c>
      <c r="H369" s="136" t="str">
        <f>IF($A369&gt;MIN($A$10,$A$2),"",IF($A$5="","Choose stock",IF(NOT($A$12),"Check split rule",IF(NOT(ISNUMBER(B369)),"Invalid date",IF(OR(B369&lt;=0,B369&lt;&gt;INT(B369)),"Invalid date",IF(COUNTIFS(DemoHistory[Date],B369)&lt;&gt;1,"Duplicate date",IF(AND($A369&gt;1,B369&lt;=B368),"Dates out of order",IF(NOT(ISNUMBER(C369)),"Missing price",IF(C369&lt;=0,"Nonpositive price","OK")))))))))</f>
        <v/>
      </c>
      <c r="I369" s="136"/>
      <c r="J369" s="136"/>
      <c r="K369" s="136"/>
      <c r="L369" s="136"/>
      <c r="M369" s="136"/>
      <c r="N369" s="136" t="e">
        <f t="shared" si="16"/>
        <v>#N/A</v>
      </c>
      <c r="O369" s="136" t="e">
        <f t="shared" si="17"/>
        <v>#N/A</v>
      </c>
    </row>
    <row r="370" spans="1:15" ht="22.05" customHeight="1" x14ac:dyDescent="0.3">
      <c r="A370" s="136">
        <v>326</v>
      </c>
      <c r="B370" s="165" t="str">
        <f>IF($A370&gt;MIN($A$10,$A$2),"",INDEX(DemoHistory[Date],$A370))</f>
        <v/>
      </c>
      <c r="C370" s="166" t="str">
        <f>IF(OR($A370&gt;MIN($A$10,$A$2),$A$5=""),"",INDEX(DemoHistory[],$A370,MATCH($A$5,DemoHistory[#Headers],0)))</f>
        <v/>
      </c>
      <c r="D370" s="166" t="str">
        <f>IF($A370&gt;MIN($A$10,$A$2),"",IF(AND($A$12,$A$6=1,B370&lt;$A$7,$A$7&lt;=MAX(DemoHistory[Date])),$A$8,1))</f>
        <v/>
      </c>
      <c r="E370" s="166" t="str">
        <f t="shared" si="15"/>
        <v/>
      </c>
      <c r="F370" s="166" t="str">
        <f>IF($A370&gt;MIN($A$10,$A$2),"",IF($A370&lt;50,"n.a.",IF(COUNT(INDEX(StockDaily[Adjusted close],MAX(1,$A370-50+1)):E370)=50,AVERAGE(INDEX(StockDaily[Adjusted close],MAX(1,$A370-50+1)):E370),"n.a.")))</f>
        <v/>
      </c>
      <c r="G370" s="166" t="str">
        <f>IF($A370&gt;MIN($A$10,$A$2),"",IF($A370&lt;200,"n.a.",IF(COUNT(INDEX(StockDaily[Adjusted close],MAX(1,$A370-200+1)):E370)=200,AVERAGE(INDEX(StockDaily[Adjusted close],MAX(1,$A370-200+1)):E370),"n.a.")))</f>
        <v/>
      </c>
      <c r="H370" s="136" t="str">
        <f>IF($A370&gt;MIN($A$10,$A$2),"",IF($A$5="","Choose stock",IF(NOT($A$12),"Check split rule",IF(NOT(ISNUMBER(B370)),"Invalid date",IF(OR(B370&lt;=0,B370&lt;&gt;INT(B370)),"Invalid date",IF(COUNTIFS(DemoHistory[Date],B370)&lt;&gt;1,"Duplicate date",IF(AND($A370&gt;1,B370&lt;=B369),"Dates out of order",IF(NOT(ISNUMBER(C370)),"Missing price",IF(C370&lt;=0,"Nonpositive price","OK")))))))))</f>
        <v/>
      </c>
      <c r="I370" s="136"/>
      <c r="J370" s="136"/>
      <c r="K370" s="136"/>
      <c r="L370" s="136"/>
      <c r="M370" s="136"/>
      <c r="N370" s="136" t="e">
        <f t="shared" si="16"/>
        <v>#N/A</v>
      </c>
      <c r="O370" s="136" t="e">
        <f t="shared" si="17"/>
        <v>#N/A</v>
      </c>
    </row>
    <row r="371" spans="1:15" ht="22.05" customHeight="1" x14ac:dyDescent="0.3">
      <c r="A371" s="136">
        <v>327</v>
      </c>
      <c r="B371" s="165" t="str">
        <f>IF($A371&gt;MIN($A$10,$A$2),"",INDEX(DemoHistory[Date],$A371))</f>
        <v/>
      </c>
      <c r="C371" s="166" t="str">
        <f>IF(OR($A371&gt;MIN($A$10,$A$2),$A$5=""),"",INDEX(DemoHistory[],$A371,MATCH($A$5,DemoHistory[#Headers],0)))</f>
        <v/>
      </c>
      <c r="D371" s="166" t="str">
        <f>IF($A371&gt;MIN($A$10,$A$2),"",IF(AND($A$12,$A$6=1,B371&lt;$A$7,$A$7&lt;=MAX(DemoHistory[Date])),$A$8,1))</f>
        <v/>
      </c>
      <c r="E371" s="166" t="str">
        <f t="shared" si="15"/>
        <v/>
      </c>
      <c r="F371" s="166" t="str">
        <f>IF($A371&gt;MIN($A$10,$A$2),"",IF($A371&lt;50,"n.a.",IF(COUNT(INDEX(StockDaily[Adjusted close],MAX(1,$A371-50+1)):E371)=50,AVERAGE(INDEX(StockDaily[Adjusted close],MAX(1,$A371-50+1)):E371),"n.a.")))</f>
        <v/>
      </c>
      <c r="G371" s="166" t="str">
        <f>IF($A371&gt;MIN($A$10,$A$2),"",IF($A371&lt;200,"n.a.",IF(COUNT(INDEX(StockDaily[Adjusted close],MAX(1,$A371-200+1)):E371)=200,AVERAGE(INDEX(StockDaily[Adjusted close],MAX(1,$A371-200+1)):E371),"n.a.")))</f>
        <v/>
      </c>
      <c r="H371" s="136" t="str">
        <f>IF($A371&gt;MIN($A$10,$A$2),"",IF($A$5="","Choose stock",IF(NOT($A$12),"Check split rule",IF(NOT(ISNUMBER(B371)),"Invalid date",IF(OR(B371&lt;=0,B371&lt;&gt;INT(B371)),"Invalid date",IF(COUNTIFS(DemoHistory[Date],B371)&lt;&gt;1,"Duplicate date",IF(AND($A371&gt;1,B371&lt;=B370),"Dates out of order",IF(NOT(ISNUMBER(C371)),"Missing price",IF(C371&lt;=0,"Nonpositive price","OK")))))))))</f>
        <v/>
      </c>
      <c r="I371" s="136"/>
      <c r="J371" s="136"/>
      <c r="K371" s="136"/>
      <c r="L371" s="136"/>
      <c r="M371" s="136"/>
      <c r="N371" s="136" t="e">
        <f t="shared" si="16"/>
        <v>#N/A</v>
      </c>
      <c r="O371" s="136" t="e">
        <f t="shared" si="17"/>
        <v>#N/A</v>
      </c>
    </row>
    <row r="372" spans="1:15" ht="22.05" customHeight="1" x14ac:dyDescent="0.3">
      <c r="A372" s="136">
        <v>328</v>
      </c>
      <c r="B372" s="165" t="str">
        <f>IF($A372&gt;MIN($A$10,$A$2),"",INDEX(DemoHistory[Date],$A372))</f>
        <v/>
      </c>
      <c r="C372" s="166" t="str">
        <f>IF(OR($A372&gt;MIN($A$10,$A$2),$A$5=""),"",INDEX(DemoHistory[],$A372,MATCH($A$5,DemoHistory[#Headers],0)))</f>
        <v/>
      </c>
      <c r="D372" s="166" t="str">
        <f>IF($A372&gt;MIN($A$10,$A$2),"",IF(AND($A$12,$A$6=1,B372&lt;$A$7,$A$7&lt;=MAX(DemoHistory[Date])),$A$8,1))</f>
        <v/>
      </c>
      <c r="E372" s="166" t="str">
        <f t="shared" si="15"/>
        <v/>
      </c>
      <c r="F372" s="166" t="str">
        <f>IF($A372&gt;MIN($A$10,$A$2),"",IF($A372&lt;50,"n.a.",IF(COUNT(INDEX(StockDaily[Adjusted close],MAX(1,$A372-50+1)):E372)=50,AVERAGE(INDEX(StockDaily[Adjusted close],MAX(1,$A372-50+1)):E372),"n.a.")))</f>
        <v/>
      </c>
      <c r="G372" s="166" t="str">
        <f>IF($A372&gt;MIN($A$10,$A$2),"",IF($A372&lt;200,"n.a.",IF(COUNT(INDEX(StockDaily[Adjusted close],MAX(1,$A372-200+1)):E372)=200,AVERAGE(INDEX(StockDaily[Adjusted close],MAX(1,$A372-200+1)):E372),"n.a.")))</f>
        <v/>
      </c>
      <c r="H372" s="136" t="str">
        <f>IF($A372&gt;MIN($A$10,$A$2),"",IF($A$5="","Choose stock",IF(NOT($A$12),"Check split rule",IF(NOT(ISNUMBER(B372)),"Invalid date",IF(OR(B372&lt;=0,B372&lt;&gt;INT(B372)),"Invalid date",IF(COUNTIFS(DemoHistory[Date],B372)&lt;&gt;1,"Duplicate date",IF(AND($A372&gt;1,B372&lt;=B371),"Dates out of order",IF(NOT(ISNUMBER(C372)),"Missing price",IF(C372&lt;=0,"Nonpositive price","OK")))))))))</f>
        <v/>
      </c>
      <c r="I372" s="136"/>
      <c r="J372" s="136"/>
      <c r="K372" s="136"/>
      <c r="L372" s="136"/>
      <c r="M372" s="136"/>
      <c r="N372" s="136" t="e">
        <f t="shared" si="16"/>
        <v>#N/A</v>
      </c>
      <c r="O372" s="136" t="e">
        <f t="shared" si="17"/>
        <v>#N/A</v>
      </c>
    </row>
    <row r="373" spans="1:15" ht="22.05" customHeight="1" x14ac:dyDescent="0.3">
      <c r="A373" s="136">
        <v>329</v>
      </c>
      <c r="B373" s="165" t="str">
        <f>IF($A373&gt;MIN($A$10,$A$2),"",INDEX(DemoHistory[Date],$A373))</f>
        <v/>
      </c>
      <c r="C373" s="166" t="str">
        <f>IF(OR($A373&gt;MIN($A$10,$A$2),$A$5=""),"",INDEX(DemoHistory[],$A373,MATCH($A$5,DemoHistory[#Headers],0)))</f>
        <v/>
      </c>
      <c r="D373" s="166" t="str">
        <f>IF($A373&gt;MIN($A$10,$A$2),"",IF(AND($A$12,$A$6=1,B373&lt;$A$7,$A$7&lt;=MAX(DemoHistory[Date])),$A$8,1))</f>
        <v/>
      </c>
      <c r="E373" s="166" t="str">
        <f t="shared" si="15"/>
        <v/>
      </c>
      <c r="F373" s="166" t="str">
        <f>IF($A373&gt;MIN($A$10,$A$2),"",IF($A373&lt;50,"n.a.",IF(COUNT(INDEX(StockDaily[Adjusted close],MAX(1,$A373-50+1)):E373)=50,AVERAGE(INDEX(StockDaily[Adjusted close],MAX(1,$A373-50+1)):E373),"n.a.")))</f>
        <v/>
      </c>
      <c r="G373" s="166" t="str">
        <f>IF($A373&gt;MIN($A$10,$A$2),"",IF($A373&lt;200,"n.a.",IF(COUNT(INDEX(StockDaily[Adjusted close],MAX(1,$A373-200+1)):E373)=200,AVERAGE(INDEX(StockDaily[Adjusted close],MAX(1,$A373-200+1)):E373),"n.a.")))</f>
        <v/>
      </c>
      <c r="H373" s="136" t="str">
        <f>IF($A373&gt;MIN($A$10,$A$2),"",IF($A$5="","Choose stock",IF(NOT($A$12),"Check split rule",IF(NOT(ISNUMBER(B373)),"Invalid date",IF(OR(B373&lt;=0,B373&lt;&gt;INT(B373)),"Invalid date",IF(COUNTIFS(DemoHistory[Date],B373)&lt;&gt;1,"Duplicate date",IF(AND($A373&gt;1,B373&lt;=B372),"Dates out of order",IF(NOT(ISNUMBER(C373)),"Missing price",IF(C373&lt;=0,"Nonpositive price","OK")))))))))</f>
        <v/>
      </c>
      <c r="I373" s="136"/>
      <c r="J373" s="136"/>
      <c r="K373" s="136"/>
      <c r="L373" s="136"/>
      <c r="M373" s="136"/>
      <c r="N373" s="136" t="e">
        <f t="shared" si="16"/>
        <v>#N/A</v>
      </c>
      <c r="O373" s="136" t="e">
        <f t="shared" si="17"/>
        <v>#N/A</v>
      </c>
    </row>
    <row r="374" spans="1:15" ht="22.05" customHeight="1" x14ac:dyDescent="0.3">
      <c r="A374" s="136">
        <v>330</v>
      </c>
      <c r="B374" s="165" t="str">
        <f>IF($A374&gt;MIN($A$10,$A$2),"",INDEX(DemoHistory[Date],$A374))</f>
        <v/>
      </c>
      <c r="C374" s="166" t="str">
        <f>IF(OR($A374&gt;MIN($A$10,$A$2),$A$5=""),"",INDEX(DemoHistory[],$A374,MATCH($A$5,DemoHistory[#Headers],0)))</f>
        <v/>
      </c>
      <c r="D374" s="166" t="str">
        <f>IF($A374&gt;MIN($A$10,$A$2),"",IF(AND($A$12,$A$6=1,B374&lt;$A$7,$A$7&lt;=MAX(DemoHistory[Date])),$A$8,1))</f>
        <v/>
      </c>
      <c r="E374" s="166" t="str">
        <f t="shared" si="15"/>
        <v/>
      </c>
      <c r="F374" s="166" t="str">
        <f>IF($A374&gt;MIN($A$10,$A$2),"",IF($A374&lt;50,"n.a.",IF(COUNT(INDEX(StockDaily[Adjusted close],MAX(1,$A374-50+1)):E374)=50,AVERAGE(INDEX(StockDaily[Adjusted close],MAX(1,$A374-50+1)):E374),"n.a.")))</f>
        <v/>
      </c>
      <c r="G374" s="166" t="str">
        <f>IF($A374&gt;MIN($A$10,$A$2),"",IF($A374&lt;200,"n.a.",IF(COUNT(INDEX(StockDaily[Adjusted close],MAX(1,$A374-200+1)):E374)=200,AVERAGE(INDEX(StockDaily[Adjusted close],MAX(1,$A374-200+1)):E374),"n.a.")))</f>
        <v/>
      </c>
      <c r="H374" s="136" t="str">
        <f>IF($A374&gt;MIN($A$10,$A$2),"",IF($A$5="","Choose stock",IF(NOT($A$12),"Check split rule",IF(NOT(ISNUMBER(B374)),"Invalid date",IF(OR(B374&lt;=0,B374&lt;&gt;INT(B374)),"Invalid date",IF(COUNTIFS(DemoHistory[Date],B374)&lt;&gt;1,"Duplicate date",IF(AND($A374&gt;1,B374&lt;=B373),"Dates out of order",IF(NOT(ISNUMBER(C374)),"Missing price",IF(C374&lt;=0,"Nonpositive price","OK")))))))))</f>
        <v/>
      </c>
      <c r="I374" s="136"/>
      <c r="J374" s="136"/>
      <c r="K374" s="136"/>
      <c r="L374" s="136"/>
      <c r="M374" s="136"/>
      <c r="N374" s="136" t="e">
        <f t="shared" si="16"/>
        <v>#N/A</v>
      </c>
      <c r="O374" s="136" t="e">
        <f t="shared" si="17"/>
        <v>#N/A</v>
      </c>
    </row>
    <row r="375" spans="1:15" ht="22.05" customHeight="1" x14ac:dyDescent="0.3">
      <c r="A375" s="136">
        <v>331</v>
      </c>
      <c r="B375" s="165" t="str">
        <f>IF($A375&gt;MIN($A$10,$A$2),"",INDEX(DemoHistory[Date],$A375))</f>
        <v/>
      </c>
      <c r="C375" s="166" t="str">
        <f>IF(OR($A375&gt;MIN($A$10,$A$2),$A$5=""),"",INDEX(DemoHistory[],$A375,MATCH($A$5,DemoHistory[#Headers],0)))</f>
        <v/>
      </c>
      <c r="D375" s="166" t="str">
        <f>IF($A375&gt;MIN($A$10,$A$2),"",IF(AND($A$12,$A$6=1,B375&lt;$A$7,$A$7&lt;=MAX(DemoHistory[Date])),$A$8,1))</f>
        <v/>
      </c>
      <c r="E375" s="166" t="str">
        <f t="shared" si="15"/>
        <v/>
      </c>
      <c r="F375" s="166" t="str">
        <f>IF($A375&gt;MIN($A$10,$A$2),"",IF($A375&lt;50,"n.a.",IF(COUNT(INDEX(StockDaily[Adjusted close],MAX(1,$A375-50+1)):E375)=50,AVERAGE(INDEX(StockDaily[Adjusted close],MAX(1,$A375-50+1)):E375),"n.a.")))</f>
        <v/>
      </c>
      <c r="G375" s="166" t="str">
        <f>IF($A375&gt;MIN($A$10,$A$2),"",IF($A375&lt;200,"n.a.",IF(COUNT(INDEX(StockDaily[Adjusted close],MAX(1,$A375-200+1)):E375)=200,AVERAGE(INDEX(StockDaily[Adjusted close],MAX(1,$A375-200+1)):E375),"n.a.")))</f>
        <v/>
      </c>
      <c r="H375" s="136" t="str">
        <f>IF($A375&gt;MIN($A$10,$A$2),"",IF($A$5="","Choose stock",IF(NOT($A$12),"Check split rule",IF(NOT(ISNUMBER(B375)),"Invalid date",IF(OR(B375&lt;=0,B375&lt;&gt;INT(B375)),"Invalid date",IF(COUNTIFS(DemoHistory[Date],B375)&lt;&gt;1,"Duplicate date",IF(AND($A375&gt;1,B375&lt;=B374),"Dates out of order",IF(NOT(ISNUMBER(C375)),"Missing price",IF(C375&lt;=0,"Nonpositive price","OK")))))))))</f>
        <v/>
      </c>
      <c r="I375" s="136"/>
      <c r="J375" s="136"/>
      <c r="K375" s="136"/>
      <c r="L375" s="136"/>
      <c r="M375" s="136"/>
      <c r="N375" s="136" t="e">
        <f t="shared" si="16"/>
        <v>#N/A</v>
      </c>
      <c r="O375" s="136" t="e">
        <f t="shared" si="17"/>
        <v>#N/A</v>
      </c>
    </row>
    <row r="376" spans="1:15" ht="22.05" customHeight="1" x14ac:dyDescent="0.3">
      <c r="A376" s="136">
        <v>332</v>
      </c>
      <c r="B376" s="165" t="str">
        <f>IF($A376&gt;MIN($A$10,$A$2),"",INDEX(DemoHistory[Date],$A376))</f>
        <v/>
      </c>
      <c r="C376" s="166" t="str">
        <f>IF(OR($A376&gt;MIN($A$10,$A$2),$A$5=""),"",INDEX(DemoHistory[],$A376,MATCH($A$5,DemoHistory[#Headers],0)))</f>
        <v/>
      </c>
      <c r="D376" s="166" t="str">
        <f>IF($A376&gt;MIN($A$10,$A$2),"",IF(AND($A$12,$A$6=1,B376&lt;$A$7,$A$7&lt;=MAX(DemoHistory[Date])),$A$8,1))</f>
        <v/>
      </c>
      <c r="E376" s="166" t="str">
        <f t="shared" si="15"/>
        <v/>
      </c>
      <c r="F376" s="166" t="str">
        <f>IF($A376&gt;MIN($A$10,$A$2),"",IF($A376&lt;50,"n.a.",IF(COUNT(INDEX(StockDaily[Adjusted close],MAX(1,$A376-50+1)):E376)=50,AVERAGE(INDEX(StockDaily[Adjusted close],MAX(1,$A376-50+1)):E376),"n.a.")))</f>
        <v/>
      </c>
      <c r="G376" s="166" t="str">
        <f>IF($A376&gt;MIN($A$10,$A$2),"",IF($A376&lt;200,"n.a.",IF(COUNT(INDEX(StockDaily[Adjusted close],MAX(1,$A376-200+1)):E376)=200,AVERAGE(INDEX(StockDaily[Adjusted close],MAX(1,$A376-200+1)):E376),"n.a.")))</f>
        <v/>
      </c>
      <c r="H376" s="136" t="str">
        <f>IF($A376&gt;MIN($A$10,$A$2),"",IF($A$5="","Choose stock",IF(NOT($A$12),"Check split rule",IF(NOT(ISNUMBER(B376)),"Invalid date",IF(OR(B376&lt;=0,B376&lt;&gt;INT(B376)),"Invalid date",IF(COUNTIFS(DemoHistory[Date],B376)&lt;&gt;1,"Duplicate date",IF(AND($A376&gt;1,B376&lt;=B375),"Dates out of order",IF(NOT(ISNUMBER(C376)),"Missing price",IF(C376&lt;=0,"Nonpositive price","OK")))))))))</f>
        <v/>
      </c>
      <c r="I376" s="136"/>
      <c r="J376" s="136"/>
      <c r="K376" s="136"/>
      <c r="L376" s="136"/>
      <c r="M376" s="136"/>
      <c r="N376" s="136" t="e">
        <f t="shared" si="16"/>
        <v>#N/A</v>
      </c>
      <c r="O376" s="136" t="e">
        <f t="shared" si="17"/>
        <v>#N/A</v>
      </c>
    </row>
    <row r="377" spans="1:15" ht="22.05" customHeight="1" x14ac:dyDescent="0.3">
      <c r="A377" s="136">
        <v>333</v>
      </c>
      <c r="B377" s="165" t="str">
        <f>IF($A377&gt;MIN($A$10,$A$2),"",INDEX(DemoHistory[Date],$A377))</f>
        <v/>
      </c>
      <c r="C377" s="166" t="str">
        <f>IF(OR($A377&gt;MIN($A$10,$A$2),$A$5=""),"",INDEX(DemoHistory[],$A377,MATCH($A$5,DemoHistory[#Headers],0)))</f>
        <v/>
      </c>
      <c r="D377" s="166" t="str">
        <f>IF($A377&gt;MIN($A$10,$A$2),"",IF(AND($A$12,$A$6=1,B377&lt;$A$7,$A$7&lt;=MAX(DemoHistory[Date])),$A$8,1))</f>
        <v/>
      </c>
      <c r="E377" s="166" t="str">
        <f t="shared" si="15"/>
        <v/>
      </c>
      <c r="F377" s="166" t="str">
        <f>IF($A377&gt;MIN($A$10,$A$2),"",IF($A377&lt;50,"n.a.",IF(COUNT(INDEX(StockDaily[Adjusted close],MAX(1,$A377-50+1)):E377)=50,AVERAGE(INDEX(StockDaily[Adjusted close],MAX(1,$A377-50+1)):E377),"n.a.")))</f>
        <v/>
      </c>
      <c r="G377" s="166" t="str">
        <f>IF($A377&gt;MIN($A$10,$A$2),"",IF($A377&lt;200,"n.a.",IF(COUNT(INDEX(StockDaily[Adjusted close],MAX(1,$A377-200+1)):E377)=200,AVERAGE(INDEX(StockDaily[Adjusted close],MAX(1,$A377-200+1)):E377),"n.a.")))</f>
        <v/>
      </c>
      <c r="H377" s="136" t="str">
        <f>IF($A377&gt;MIN($A$10,$A$2),"",IF($A$5="","Choose stock",IF(NOT($A$12),"Check split rule",IF(NOT(ISNUMBER(B377)),"Invalid date",IF(OR(B377&lt;=0,B377&lt;&gt;INT(B377)),"Invalid date",IF(COUNTIFS(DemoHistory[Date],B377)&lt;&gt;1,"Duplicate date",IF(AND($A377&gt;1,B377&lt;=B376),"Dates out of order",IF(NOT(ISNUMBER(C377)),"Missing price",IF(C377&lt;=0,"Nonpositive price","OK")))))))))</f>
        <v/>
      </c>
      <c r="I377" s="136"/>
      <c r="J377" s="136"/>
      <c r="K377" s="136"/>
      <c r="L377" s="136"/>
      <c r="M377" s="136"/>
      <c r="N377" s="136" t="e">
        <f t="shared" si="16"/>
        <v>#N/A</v>
      </c>
      <c r="O377" s="136" t="e">
        <f t="shared" si="17"/>
        <v>#N/A</v>
      </c>
    </row>
    <row r="378" spans="1:15" ht="22.05" customHeight="1" x14ac:dyDescent="0.3">
      <c r="A378" s="136">
        <v>334</v>
      </c>
      <c r="B378" s="165" t="str">
        <f>IF($A378&gt;MIN($A$10,$A$2),"",INDEX(DemoHistory[Date],$A378))</f>
        <v/>
      </c>
      <c r="C378" s="166" t="str">
        <f>IF(OR($A378&gt;MIN($A$10,$A$2),$A$5=""),"",INDEX(DemoHistory[],$A378,MATCH($A$5,DemoHistory[#Headers],0)))</f>
        <v/>
      </c>
      <c r="D378" s="166" t="str">
        <f>IF($A378&gt;MIN($A$10,$A$2),"",IF(AND($A$12,$A$6=1,B378&lt;$A$7,$A$7&lt;=MAX(DemoHistory[Date])),$A$8,1))</f>
        <v/>
      </c>
      <c r="E378" s="166" t="str">
        <f t="shared" si="15"/>
        <v/>
      </c>
      <c r="F378" s="166" t="str">
        <f>IF($A378&gt;MIN($A$10,$A$2),"",IF($A378&lt;50,"n.a.",IF(COUNT(INDEX(StockDaily[Adjusted close],MAX(1,$A378-50+1)):E378)=50,AVERAGE(INDEX(StockDaily[Adjusted close],MAX(1,$A378-50+1)):E378),"n.a.")))</f>
        <v/>
      </c>
      <c r="G378" s="166" t="str">
        <f>IF($A378&gt;MIN($A$10,$A$2),"",IF($A378&lt;200,"n.a.",IF(COUNT(INDEX(StockDaily[Adjusted close],MAX(1,$A378-200+1)):E378)=200,AVERAGE(INDEX(StockDaily[Adjusted close],MAX(1,$A378-200+1)):E378),"n.a.")))</f>
        <v/>
      </c>
      <c r="H378" s="136" t="str">
        <f>IF($A378&gt;MIN($A$10,$A$2),"",IF($A$5="","Choose stock",IF(NOT($A$12),"Check split rule",IF(NOT(ISNUMBER(B378)),"Invalid date",IF(OR(B378&lt;=0,B378&lt;&gt;INT(B378)),"Invalid date",IF(COUNTIFS(DemoHistory[Date],B378)&lt;&gt;1,"Duplicate date",IF(AND($A378&gt;1,B378&lt;=B377),"Dates out of order",IF(NOT(ISNUMBER(C378)),"Missing price",IF(C378&lt;=0,"Nonpositive price","OK")))))))))</f>
        <v/>
      </c>
      <c r="I378" s="136"/>
      <c r="J378" s="136"/>
      <c r="K378" s="136"/>
      <c r="L378" s="136"/>
      <c r="M378" s="136"/>
      <c r="N378" s="136" t="e">
        <f t="shared" si="16"/>
        <v>#N/A</v>
      </c>
      <c r="O378" s="136" t="e">
        <f t="shared" si="17"/>
        <v>#N/A</v>
      </c>
    </row>
    <row r="379" spans="1:15" ht="22.05" customHeight="1" x14ac:dyDescent="0.3">
      <c r="A379" s="136">
        <v>335</v>
      </c>
      <c r="B379" s="165" t="str">
        <f>IF($A379&gt;MIN($A$10,$A$2),"",INDEX(DemoHistory[Date],$A379))</f>
        <v/>
      </c>
      <c r="C379" s="166" t="str">
        <f>IF(OR($A379&gt;MIN($A$10,$A$2),$A$5=""),"",INDEX(DemoHistory[],$A379,MATCH($A$5,DemoHistory[#Headers],0)))</f>
        <v/>
      </c>
      <c r="D379" s="166" t="str">
        <f>IF($A379&gt;MIN($A$10,$A$2),"",IF(AND($A$12,$A$6=1,B379&lt;$A$7,$A$7&lt;=MAX(DemoHistory[Date])),$A$8,1))</f>
        <v/>
      </c>
      <c r="E379" s="166" t="str">
        <f t="shared" si="15"/>
        <v/>
      </c>
      <c r="F379" s="166" t="str">
        <f>IF($A379&gt;MIN($A$10,$A$2),"",IF($A379&lt;50,"n.a.",IF(COUNT(INDEX(StockDaily[Adjusted close],MAX(1,$A379-50+1)):E379)=50,AVERAGE(INDEX(StockDaily[Adjusted close],MAX(1,$A379-50+1)):E379),"n.a.")))</f>
        <v/>
      </c>
      <c r="G379" s="166" t="str">
        <f>IF($A379&gt;MIN($A$10,$A$2),"",IF($A379&lt;200,"n.a.",IF(COUNT(INDEX(StockDaily[Adjusted close],MAX(1,$A379-200+1)):E379)=200,AVERAGE(INDEX(StockDaily[Adjusted close],MAX(1,$A379-200+1)):E379),"n.a.")))</f>
        <v/>
      </c>
      <c r="H379" s="136" t="str">
        <f>IF($A379&gt;MIN($A$10,$A$2),"",IF($A$5="","Choose stock",IF(NOT($A$12),"Check split rule",IF(NOT(ISNUMBER(B379)),"Invalid date",IF(OR(B379&lt;=0,B379&lt;&gt;INT(B379)),"Invalid date",IF(COUNTIFS(DemoHistory[Date],B379)&lt;&gt;1,"Duplicate date",IF(AND($A379&gt;1,B379&lt;=B378),"Dates out of order",IF(NOT(ISNUMBER(C379)),"Missing price",IF(C379&lt;=0,"Nonpositive price","OK")))))))))</f>
        <v/>
      </c>
      <c r="I379" s="136"/>
      <c r="J379" s="136"/>
      <c r="K379" s="136"/>
      <c r="L379" s="136"/>
      <c r="M379" s="136"/>
      <c r="N379" s="136" t="e">
        <f t="shared" si="16"/>
        <v>#N/A</v>
      </c>
      <c r="O379" s="136" t="e">
        <f t="shared" si="17"/>
        <v>#N/A</v>
      </c>
    </row>
    <row r="380" spans="1:15" ht="22.05" customHeight="1" x14ac:dyDescent="0.3">
      <c r="A380" s="136">
        <v>336</v>
      </c>
      <c r="B380" s="165" t="str">
        <f>IF($A380&gt;MIN($A$10,$A$2),"",INDEX(DemoHistory[Date],$A380))</f>
        <v/>
      </c>
      <c r="C380" s="166" t="str">
        <f>IF(OR($A380&gt;MIN($A$10,$A$2),$A$5=""),"",INDEX(DemoHistory[],$A380,MATCH($A$5,DemoHistory[#Headers],0)))</f>
        <v/>
      </c>
      <c r="D380" s="166" t="str">
        <f>IF($A380&gt;MIN($A$10,$A$2),"",IF(AND($A$12,$A$6=1,B380&lt;$A$7,$A$7&lt;=MAX(DemoHistory[Date])),$A$8,1))</f>
        <v/>
      </c>
      <c r="E380" s="166" t="str">
        <f t="shared" si="15"/>
        <v/>
      </c>
      <c r="F380" s="166" t="str">
        <f>IF($A380&gt;MIN($A$10,$A$2),"",IF($A380&lt;50,"n.a.",IF(COUNT(INDEX(StockDaily[Adjusted close],MAX(1,$A380-50+1)):E380)=50,AVERAGE(INDEX(StockDaily[Adjusted close],MAX(1,$A380-50+1)):E380),"n.a.")))</f>
        <v/>
      </c>
      <c r="G380" s="166" t="str">
        <f>IF($A380&gt;MIN($A$10,$A$2),"",IF($A380&lt;200,"n.a.",IF(COUNT(INDEX(StockDaily[Adjusted close],MAX(1,$A380-200+1)):E380)=200,AVERAGE(INDEX(StockDaily[Adjusted close],MAX(1,$A380-200+1)):E380),"n.a.")))</f>
        <v/>
      </c>
      <c r="H380" s="136" t="str">
        <f>IF($A380&gt;MIN($A$10,$A$2),"",IF($A$5="","Choose stock",IF(NOT($A$12),"Check split rule",IF(NOT(ISNUMBER(B380)),"Invalid date",IF(OR(B380&lt;=0,B380&lt;&gt;INT(B380)),"Invalid date",IF(COUNTIFS(DemoHistory[Date],B380)&lt;&gt;1,"Duplicate date",IF(AND($A380&gt;1,B380&lt;=B379),"Dates out of order",IF(NOT(ISNUMBER(C380)),"Missing price",IF(C380&lt;=0,"Nonpositive price","OK")))))))))</f>
        <v/>
      </c>
      <c r="I380" s="136"/>
      <c r="J380" s="136"/>
      <c r="K380" s="136"/>
      <c r="L380" s="136"/>
      <c r="M380" s="136"/>
      <c r="N380" s="136" t="e">
        <f t="shared" si="16"/>
        <v>#N/A</v>
      </c>
      <c r="O380" s="136" t="e">
        <f t="shared" si="17"/>
        <v>#N/A</v>
      </c>
    </row>
    <row r="381" spans="1:15" ht="22.05" customHeight="1" x14ac:dyDescent="0.3">
      <c r="A381" s="136">
        <v>337</v>
      </c>
      <c r="B381" s="165" t="str">
        <f>IF($A381&gt;MIN($A$10,$A$2),"",INDEX(DemoHistory[Date],$A381))</f>
        <v/>
      </c>
      <c r="C381" s="166" t="str">
        <f>IF(OR($A381&gt;MIN($A$10,$A$2),$A$5=""),"",INDEX(DemoHistory[],$A381,MATCH($A$5,DemoHistory[#Headers],0)))</f>
        <v/>
      </c>
      <c r="D381" s="166" t="str">
        <f>IF($A381&gt;MIN($A$10,$A$2),"",IF(AND($A$12,$A$6=1,B381&lt;$A$7,$A$7&lt;=MAX(DemoHistory[Date])),$A$8,1))</f>
        <v/>
      </c>
      <c r="E381" s="166" t="str">
        <f t="shared" si="15"/>
        <v/>
      </c>
      <c r="F381" s="166" t="str">
        <f>IF($A381&gt;MIN($A$10,$A$2),"",IF($A381&lt;50,"n.a.",IF(COUNT(INDEX(StockDaily[Adjusted close],MAX(1,$A381-50+1)):E381)=50,AVERAGE(INDEX(StockDaily[Adjusted close],MAX(1,$A381-50+1)):E381),"n.a.")))</f>
        <v/>
      </c>
      <c r="G381" s="166" t="str">
        <f>IF($A381&gt;MIN($A$10,$A$2),"",IF($A381&lt;200,"n.a.",IF(COUNT(INDEX(StockDaily[Adjusted close],MAX(1,$A381-200+1)):E381)=200,AVERAGE(INDEX(StockDaily[Adjusted close],MAX(1,$A381-200+1)):E381),"n.a.")))</f>
        <v/>
      </c>
      <c r="H381" s="136" t="str">
        <f>IF($A381&gt;MIN($A$10,$A$2),"",IF($A$5="","Choose stock",IF(NOT($A$12),"Check split rule",IF(NOT(ISNUMBER(B381)),"Invalid date",IF(OR(B381&lt;=0,B381&lt;&gt;INT(B381)),"Invalid date",IF(COUNTIFS(DemoHistory[Date],B381)&lt;&gt;1,"Duplicate date",IF(AND($A381&gt;1,B381&lt;=B380),"Dates out of order",IF(NOT(ISNUMBER(C381)),"Missing price",IF(C381&lt;=0,"Nonpositive price","OK")))))))))</f>
        <v/>
      </c>
      <c r="I381" s="136"/>
      <c r="J381" s="136"/>
      <c r="K381" s="136"/>
      <c r="L381" s="136"/>
      <c r="M381" s="136"/>
      <c r="N381" s="136" t="e">
        <f t="shared" si="16"/>
        <v>#N/A</v>
      </c>
      <c r="O381" s="136" t="e">
        <f t="shared" si="17"/>
        <v>#N/A</v>
      </c>
    </row>
    <row r="382" spans="1:15" ht="22.05" customHeight="1" x14ac:dyDescent="0.3">
      <c r="A382" s="136">
        <v>338</v>
      </c>
      <c r="B382" s="165" t="str">
        <f>IF($A382&gt;MIN($A$10,$A$2),"",INDEX(DemoHistory[Date],$A382))</f>
        <v/>
      </c>
      <c r="C382" s="166" t="str">
        <f>IF(OR($A382&gt;MIN($A$10,$A$2),$A$5=""),"",INDEX(DemoHistory[],$A382,MATCH($A$5,DemoHistory[#Headers],0)))</f>
        <v/>
      </c>
      <c r="D382" s="166" t="str">
        <f>IF($A382&gt;MIN($A$10,$A$2),"",IF(AND($A$12,$A$6=1,B382&lt;$A$7,$A$7&lt;=MAX(DemoHistory[Date])),$A$8,1))</f>
        <v/>
      </c>
      <c r="E382" s="166" t="str">
        <f t="shared" si="15"/>
        <v/>
      </c>
      <c r="F382" s="166" t="str">
        <f>IF($A382&gt;MIN($A$10,$A$2),"",IF($A382&lt;50,"n.a.",IF(COUNT(INDEX(StockDaily[Adjusted close],MAX(1,$A382-50+1)):E382)=50,AVERAGE(INDEX(StockDaily[Adjusted close],MAX(1,$A382-50+1)):E382),"n.a.")))</f>
        <v/>
      </c>
      <c r="G382" s="166" t="str">
        <f>IF($A382&gt;MIN($A$10,$A$2),"",IF($A382&lt;200,"n.a.",IF(COUNT(INDEX(StockDaily[Adjusted close],MAX(1,$A382-200+1)):E382)=200,AVERAGE(INDEX(StockDaily[Adjusted close],MAX(1,$A382-200+1)):E382),"n.a.")))</f>
        <v/>
      </c>
      <c r="H382" s="136" t="str">
        <f>IF($A382&gt;MIN($A$10,$A$2),"",IF($A$5="","Choose stock",IF(NOT($A$12),"Check split rule",IF(NOT(ISNUMBER(B382)),"Invalid date",IF(OR(B382&lt;=0,B382&lt;&gt;INT(B382)),"Invalid date",IF(COUNTIFS(DemoHistory[Date],B382)&lt;&gt;1,"Duplicate date",IF(AND($A382&gt;1,B382&lt;=B381),"Dates out of order",IF(NOT(ISNUMBER(C382)),"Missing price",IF(C382&lt;=0,"Nonpositive price","OK")))))))))</f>
        <v/>
      </c>
      <c r="I382" s="136"/>
      <c r="J382" s="136"/>
      <c r="K382" s="136"/>
      <c r="L382" s="136"/>
      <c r="M382" s="136"/>
      <c r="N382" s="136" t="e">
        <f t="shared" si="16"/>
        <v>#N/A</v>
      </c>
      <c r="O382" s="136" t="e">
        <f t="shared" si="17"/>
        <v>#N/A</v>
      </c>
    </row>
    <row r="383" spans="1:15" ht="22.05" customHeight="1" x14ac:dyDescent="0.3">
      <c r="A383" s="136">
        <v>339</v>
      </c>
      <c r="B383" s="165" t="str">
        <f>IF($A383&gt;MIN($A$10,$A$2),"",INDEX(DemoHistory[Date],$A383))</f>
        <v/>
      </c>
      <c r="C383" s="166" t="str">
        <f>IF(OR($A383&gt;MIN($A$10,$A$2),$A$5=""),"",INDEX(DemoHistory[],$A383,MATCH($A$5,DemoHistory[#Headers],0)))</f>
        <v/>
      </c>
      <c r="D383" s="166" t="str">
        <f>IF($A383&gt;MIN($A$10,$A$2),"",IF(AND($A$12,$A$6=1,B383&lt;$A$7,$A$7&lt;=MAX(DemoHistory[Date])),$A$8,1))</f>
        <v/>
      </c>
      <c r="E383" s="166" t="str">
        <f t="shared" si="15"/>
        <v/>
      </c>
      <c r="F383" s="166" t="str">
        <f>IF($A383&gt;MIN($A$10,$A$2),"",IF($A383&lt;50,"n.a.",IF(COUNT(INDEX(StockDaily[Adjusted close],MAX(1,$A383-50+1)):E383)=50,AVERAGE(INDEX(StockDaily[Adjusted close],MAX(1,$A383-50+1)):E383),"n.a.")))</f>
        <v/>
      </c>
      <c r="G383" s="166" t="str">
        <f>IF($A383&gt;MIN($A$10,$A$2),"",IF($A383&lt;200,"n.a.",IF(COUNT(INDEX(StockDaily[Adjusted close],MAX(1,$A383-200+1)):E383)=200,AVERAGE(INDEX(StockDaily[Adjusted close],MAX(1,$A383-200+1)):E383),"n.a.")))</f>
        <v/>
      </c>
      <c r="H383" s="136" t="str">
        <f>IF($A383&gt;MIN($A$10,$A$2),"",IF($A$5="","Choose stock",IF(NOT($A$12),"Check split rule",IF(NOT(ISNUMBER(B383)),"Invalid date",IF(OR(B383&lt;=0,B383&lt;&gt;INT(B383)),"Invalid date",IF(COUNTIFS(DemoHistory[Date],B383)&lt;&gt;1,"Duplicate date",IF(AND($A383&gt;1,B383&lt;=B382),"Dates out of order",IF(NOT(ISNUMBER(C383)),"Missing price",IF(C383&lt;=0,"Nonpositive price","OK")))))))))</f>
        <v/>
      </c>
      <c r="I383" s="136"/>
      <c r="J383" s="136"/>
      <c r="K383" s="136"/>
      <c r="L383" s="136"/>
      <c r="M383" s="136"/>
      <c r="N383" s="136" t="e">
        <f t="shared" si="16"/>
        <v>#N/A</v>
      </c>
      <c r="O383" s="136" t="e">
        <f t="shared" si="17"/>
        <v>#N/A</v>
      </c>
    </row>
    <row r="384" spans="1:15" ht="22.05" customHeight="1" x14ac:dyDescent="0.3">
      <c r="A384" s="136">
        <v>340</v>
      </c>
      <c r="B384" s="165" t="str">
        <f>IF($A384&gt;MIN($A$10,$A$2),"",INDEX(DemoHistory[Date],$A384))</f>
        <v/>
      </c>
      <c r="C384" s="166" t="str">
        <f>IF(OR($A384&gt;MIN($A$10,$A$2),$A$5=""),"",INDEX(DemoHistory[],$A384,MATCH($A$5,DemoHistory[#Headers],0)))</f>
        <v/>
      </c>
      <c r="D384" s="166" t="str">
        <f>IF($A384&gt;MIN($A$10,$A$2),"",IF(AND($A$12,$A$6=1,B384&lt;$A$7,$A$7&lt;=MAX(DemoHistory[Date])),$A$8,1))</f>
        <v/>
      </c>
      <c r="E384" s="166" t="str">
        <f t="shared" si="15"/>
        <v/>
      </c>
      <c r="F384" s="166" t="str">
        <f>IF($A384&gt;MIN($A$10,$A$2),"",IF($A384&lt;50,"n.a.",IF(COUNT(INDEX(StockDaily[Adjusted close],MAX(1,$A384-50+1)):E384)=50,AVERAGE(INDEX(StockDaily[Adjusted close],MAX(1,$A384-50+1)):E384),"n.a.")))</f>
        <v/>
      </c>
      <c r="G384" s="166" t="str">
        <f>IF($A384&gt;MIN($A$10,$A$2),"",IF($A384&lt;200,"n.a.",IF(COUNT(INDEX(StockDaily[Adjusted close],MAX(1,$A384-200+1)):E384)=200,AVERAGE(INDEX(StockDaily[Adjusted close],MAX(1,$A384-200+1)):E384),"n.a.")))</f>
        <v/>
      </c>
      <c r="H384" s="136" t="str">
        <f>IF($A384&gt;MIN($A$10,$A$2),"",IF($A$5="","Choose stock",IF(NOT($A$12),"Check split rule",IF(NOT(ISNUMBER(B384)),"Invalid date",IF(OR(B384&lt;=0,B384&lt;&gt;INT(B384)),"Invalid date",IF(COUNTIFS(DemoHistory[Date],B384)&lt;&gt;1,"Duplicate date",IF(AND($A384&gt;1,B384&lt;=B383),"Dates out of order",IF(NOT(ISNUMBER(C384)),"Missing price",IF(C384&lt;=0,"Nonpositive price","OK")))))))))</f>
        <v/>
      </c>
      <c r="I384" s="136"/>
      <c r="J384" s="136"/>
      <c r="K384" s="136"/>
      <c r="L384" s="136"/>
      <c r="M384" s="136"/>
      <c r="N384" s="136" t="e">
        <f t="shared" si="16"/>
        <v>#N/A</v>
      </c>
      <c r="O384" s="136" t="e">
        <f t="shared" si="17"/>
        <v>#N/A</v>
      </c>
    </row>
    <row r="385" spans="1:15" ht="22.05" customHeight="1" x14ac:dyDescent="0.3">
      <c r="A385" s="136">
        <v>341</v>
      </c>
      <c r="B385" s="165" t="str">
        <f>IF($A385&gt;MIN($A$10,$A$2),"",INDEX(DemoHistory[Date],$A385))</f>
        <v/>
      </c>
      <c r="C385" s="166" t="str">
        <f>IF(OR($A385&gt;MIN($A$10,$A$2),$A$5=""),"",INDEX(DemoHistory[],$A385,MATCH($A$5,DemoHistory[#Headers],0)))</f>
        <v/>
      </c>
      <c r="D385" s="166" t="str">
        <f>IF($A385&gt;MIN($A$10,$A$2),"",IF(AND($A$12,$A$6=1,B385&lt;$A$7,$A$7&lt;=MAX(DemoHistory[Date])),$A$8,1))</f>
        <v/>
      </c>
      <c r="E385" s="166" t="str">
        <f t="shared" si="15"/>
        <v/>
      </c>
      <c r="F385" s="166" t="str">
        <f>IF($A385&gt;MIN($A$10,$A$2),"",IF($A385&lt;50,"n.a.",IF(COUNT(INDEX(StockDaily[Adjusted close],MAX(1,$A385-50+1)):E385)=50,AVERAGE(INDEX(StockDaily[Adjusted close],MAX(1,$A385-50+1)):E385),"n.a.")))</f>
        <v/>
      </c>
      <c r="G385" s="166" t="str">
        <f>IF($A385&gt;MIN($A$10,$A$2),"",IF($A385&lt;200,"n.a.",IF(COUNT(INDEX(StockDaily[Adjusted close],MAX(1,$A385-200+1)):E385)=200,AVERAGE(INDEX(StockDaily[Adjusted close],MAX(1,$A385-200+1)):E385),"n.a.")))</f>
        <v/>
      </c>
      <c r="H385" s="136" t="str">
        <f>IF($A385&gt;MIN($A$10,$A$2),"",IF($A$5="","Choose stock",IF(NOT($A$12),"Check split rule",IF(NOT(ISNUMBER(B385)),"Invalid date",IF(OR(B385&lt;=0,B385&lt;&gt;INT(B385)),"Invalid date",IF(COUNTIFS(DemoHistory[Date],B385)&lt;&gt;1,"Duplicate date",IF(AND($A385&gt;1,B385&lt;=B384),"Dates out of order",IF(NOT(ISNUMBER(C385)),"Missing price",IF(C385&lt;=0,"Nonpositive price","OK")))))))))</f>
        <v/>
      </c>
      <c r="I385" s="136"/>
      <c r="J385" s="136"/>
      <c r="K385" s="136"/>
      <c r="L385" s="136"/>
      <c r="M385" s="136"/>
      <c r="N385" s="136" t="e">
        <f t="shared" si="16"/>
        <v>#N/A</v>
      </c>
      <c r="O385" s="136" t="e">
        <f t="shared" si="17"/>
        <v>#N/A</v>
      </c>
    </row>
    <row r="386" spans="1:15" ht="22.05" customHeight="1" x14ac:dyDescent="0.3">
      <c r="A386" s="136">
        <v>342</v>
      </c>
      <c r="B386" s="165" t="str">
        <f>IF($A386&gt;MIN($A$10,$A$2),"",INDEX(DemoHistory[Date],$A386))</f>
        <v/>
      </c>
      <c r="C386" s="166" t="str">
        <f>IF(OR($A386&gt;MIN($A$10,$A$2),$A$5=""),"",INDEX(DemoHistory[],$A386,MATCH($A$5,DemoHistory[#Headers],0)))</f>
        <v/>
      </c>
      <c r="D386" s="166" t="str">
        <f>IF($A386&gt;MIN($A$10,$A$2),"",IF(AND($A$12,$A$6=1,B386&lt;$A$7,$A$7&lt;=MAX(DemoHistory[Date])),$A$8,1))</f>
        <v/>
      </c>
      <c r="E386" s="166" t="str">
        <f t="shared" si="15"/>
        <v/>
      </c>
      <c r="F386" s="166" t="str">
        <f>IF($A386&gt;MIN($A$10,$A$2),"",IF($A386&lt;50,"n.a.",IF(COUNT(INDEX(StockDaily[Adjusted close],MAX(1,$A386-50+1)):E386)=50,AVERAGE(INDEX(StockDaily[Adjusted close],MAX(1,$A386-50+1)):E386),"n.a.")))</f>
        <v/>
      </c>
      <c r="G386" s="166" t="str">
        <f>IF($A386&gt;MIN($A$10,$A$2),"",IF($A386&lt;200,"n.a.",IF(COUNT(INDEX(StockDaily[Adjusted close],MAX(1,$A386-200+1)):E386)=200,AVERAGE(INDEX(StockDaily[Adjusted close],MAX(1,$A386-200+1)):E386),"n.a.")))</f>
        <v/>
      </c>
      <c r="H386" s="136" t="str">
        <f>IF($A386&gt;MIN($A$10,$A$2),"",IF($A$5="","Choose stock",IF(NOT($A$12),"Check split rule",IF(NOT(ISNUMBER(B386)),"Invalid date",IF(OR(B386&lt;=0,B386&lt;&gt;INT(B386)),"Invalid date",IF(COUNTIFS(DemoHistory[Date],B386)&lt;&gt;1,"Duplicate date",IF(AND($A386&gt;1,B386&lt;=B385),"Dates out of order",IF(NOT(ISNUMBER(C386)),"Missing price",IF(C386&lt;=0,"Nonpositive price","OK")))))))))</f>
        <v/>
      </c>
      <c r="I386" s="136"/>
      <c r="J386" s="136"/>
      <c r="K386" s="136"/>
      <c r="L386" s="136"/>
      <c r="M386" s="136"/>
      <c r="N386" s="136" t="e">
        <f t="shared" si="16"/>
        <v>#N/A</v>
      </c>
      <c r="O386" s="136" t="e">
        <f t="shared" si="17"/>
        <v>#N/A</v>
      </c>
    </row>
    <row r="387" spans="1:15" ht="22.05" customHeight="1" x14ac:dyDescent="0.3">
      <c r="A387" s="136">
        <v>343</v>
      </c>
      <c r="B387" s="165" t="str">
        <f>IF($A387&gt;MIN($A$10,$A$2),"",INDEX(DemoHistory[Date],$A387))</f>
        <v/>
      </c>
      <c r="C387" s="166" t="str">
        <f>IF(OR($A387&gt;MIN($A$10,$A$2),$A$5=""),"",INDEX(DemoHistory[],$A387,MATCH($A$5,DemoHistory[#Headers],0)))</f>
        <v/>
      </c>
      <c r="D387" s="166" t="str">
        <f>IF($A387&gt;MIN($A$10,$A$2),"",IF(AND($A$12,$A$6=1,B387&lt;$A$7,$A$7&lt;=MAX(DemoHistory[Date])),$A$8,1))</f>
        <v/>
      </c>
      <c r="E387" s="166" t="str">
        <f t="shared" si="15"/>
        <v/>
      </c>
      <c r="F387" s="166" t="str">
        <f>IF($A387&gt;MIN($A$10,$A$2),"",IF($A387&lt;50,"n.a.",IF(COUNT(INDEX(StockDaily[Adjusted close],MAX(1,$A387-50+1)):E387)=50,AVERAGE(INDEX(StockDaily[Adjusted close],MAX(1,$A387-50+1)):E387),"n.a.")))</f>
        <v/>
      </c>
      <c r="G387" s="166" t="str">
        <f>IF($A387&gt;MIN($A$10,$A$2),"",IF($A387&lt;200,"n.a.",IF(COUNT(INDEX(StockDaily[Adjusted close],MAX(1,$A387-200+1)):E387)=200,AVERAGE(INDEX(StockDaily[Adjusted close],MAX(1,$A387-200+1)):E387),"n.a.")))</f>
        <v/>
      </c>
      <c r="H387" s="136" t="str">
        <f>IF($A387&gt;MIN($A$10,$A$2),"",IF($A$5="","Choose stock",IF(NOT($A$12),"Check split rule",IF(NOT(ISNUMBER(B387)),"Invalid date",IF(OR(B387&lt;=0,B387&lt;&gt;INT(B387)),"Invalid date",IF(COUNTIFS(DemoHistory[Date],B387)&lt;&gt;1,"Duplicate date",IF(AND($A387&gt;1,B387&lt;=B386),"Dates out of order",IF(NOT(ISNUMBER(C387)),"Missing price",IF(C387&lt;=0,"Nonpositive price","OK")))))))))</f>
        <v/>
      </c>
      <c r="I387" s="136"/>
      <c r="J387" s="136"/>
      <c r="K387" s="136"/>
      <c r="L387" s="136"/>
      <c r="M387" s="136"/>
      <c r="N387" s="136" t="e">
        <f t="shared" si="16"/>
        <v>#N/A</v>
      </c>
      <c r="O387" s="136" t="e">
        <f t="shared" si="17"/>
        <v>#N/A</v>
      </c>
    </row>
    <row r="388" spans="1:15" ht="22.05" customHeight="1" x14ac:dyDescent="0.3">
      <c r="A388" s="136">
        <v>344</v>
      </c>
      <c r="B388" s="165" t="str">
        <f>IF($A388&gt;MIN($A$10,$A$2),"",INDEX(DemoHistory[Date],$A388))</f>
        <v/>
      </c>
      <c r="C388" s="166" t="str">
        <f>IF(OR($A388&gt;MIN($A$10,$A$2),$A$5=""),"",INDEX(DemoHistory[],$A388,MATCH($A$5,DemoHistory[#Headers],0)))</f>
        <v/>
      </c>
      <c r="D388" s="166" t="str">
        <f>IF($A388&gt;MIN($A$10,$A$2),"",IF(AND($A$12,$A$6=1,B388&lt;$A$7,$A$7&lt;=MAX(DemoHistory[Date])),$A$8,1))</f>
        <v/>
      </c>
      <c r="E388" s="166" t="str">
        <f t="shared" si="15"/>
        <v/>
      </c>
      <c r="F388" s="166" t="str">
        <f>IF($A388&gt;MIN($A$10,$A$2),"",IF($A388&lt;50,"n.a.",IF(COUNT(INDEX(StockDaily[Adjusted close],MAX(1,$A388-50+1)):E388)=50,AVERAGE(INDEX(StockDaily[Adjusted close],MAX(1,$A388-50+1)):E388),"n.a.")))</f>
        <v/>
      </c>
      <c r="G388" s="166" t="str">
        <f>IF($A388&gt;MIN($A$10,$A$2),"",IF($A388&lt;200,"n.a.",IF(COUNT(INDEX(StockDaily[Adjusted close],MAX(1,$A388-200+1)):E388)=200,AVERAGE(INDEX(StockDaily[Adjusted close],MAX(1,$A388-200+1)):E388),"n.a.")))</f>
        <v/>
      </c>
      <c r="H388" s="136" t="str">
        <f>IF($A388&gt;MIN($A$10,$A$2),"",IF($A$5="","Choose stock",IF(NOT($A$12),"Check split rule",IF(NOT(ISNUMBER(B388)),"Invalid date",IF(OR(B388&lt;=0,B388&lt;&gt;INT(B388)),"Invalid date",IF(COUNTIFS(DemoHistory[Date],B388)&lt;&gt;1,"Duplicate date",IF(AND($A388&gt;1,B388&lt;=B387),"Dates out of order",IF(NOT(ISNUMBER(C388)),"Missing price",IF(C388&lt;=0,"Nonpositive price","OK")))))))))</f>
        <v/>
      </c>
      <c r="I388" s="136"/>
      <c r="J388" s="136"/>
      <c r="K388" s="136"/>
      <c r="L388" s="136"/>
      <c r="M388" s="136"/>
      <c r="N388" s="136" t="e">
        <f t="shared" si="16"/>
        <v>#N/A</v>
      </c>
      <c r="O388" s="136" t="e">
        <f t="shared" si="17"/>
        <v>#N/A</v>
      </c>
    </row>
    <row r="389" spans="1:15" ht="22.05" customHeight="1" x14ac:dyDescent="0.3">
      <c r="A389" s="136">
        <v>345</v>
      </c>
      <c r="B389" s="165" t="str">
        <f>IF($A389&gt;MIN($A$10,$A$2),"",INDEX(DemoHistory[Date],$A389))</f>
        <v/>
      </c>
      <c r="C389" s="166" t="str">
        <f>IF(OR($A389&gt;MIN($A$10,$A$2),$A$5=""),"",INDEX(DemoHistory[],$A389,MATCH($A$5,DemoHistory[#Headers],0)))</f>
        <v/>
      </c>
      <c r="D389" s="166" t="str">
        <f>IF($A389&gt;MIN($A$10,$A$2),"",IF(AND($A$12,$A$6=1,B389&lt;$A$7,$A$7&lt;=MAX(DemoHistory[Date])),$A$8,1))</f>
        <v/>
      </c>
      <c r="E389" s="166" t="str">
        <f t="shared" si="15"/>
        <v/>
      </c>
      <c r="F389" s="166" t="str">
        <f>IF($A389&gt;MIN($A$10,$A$2),"",IF($A389&lt;50,"n.a.",IF(COUNT(INDEX(StockDaily[Adjusted close],MAX(1,$A389-50+1)):E389)=50,AVERAGE(INDEX(StockDaily[Adjusted close],MAX(1,$A389-50+1)):E389),"n.a.")))</f>
        <v/>
      </c>
      <c r="G389" s="166" t="str">
        <f>IF($A389&gt;MIN($A$10,$A$2),"",IF($A389&lt;200,"n.a.",IF(COUNT(INDEX(StockDaily[Adjusted close],MAX(1,$A389-200+1)):E389)=200,AVERAGE(INDEX(StockDaily[Adjusted close],MAX(1,$A389-200+1)):E389),"n.a.")))</f>
        <v/>
      </c>
      <c r="H389" s="136" t="str">
        <f>IF($A389&gt;MIN($A$10,$A$2),"",IF($A$5="","Choose stock",IF(NOT($A$12),"Check split rule",IF(NOT(ISNUMBER(B389)),"Invalid date",IF(OR(B389&lt;=0,B389&lt;&gt;INT(B389)),"Invalid date",IF(COUNTIFS(DemoHistory[Date],B389)&lt;&gt;1,"Duplicate date",IF(AND($A389&gt;1,B389&lt;=B388),"Dates out of order",IF(NOT(ISNUMBER(C389)),"Missing price",IF(C389&lt;=0,"Nonpositive price","OK")))))))))</f>
        <v/>
      </c>
      <c r="I389" s="136"/>
      <c r="J389" s="136"/>
      <c r="K389" s="136"/>
      <c r="L389" s="136"/>
      <c r="M389" s="136"/>
      <c r="N389" s="136" t="e">
        <f t="shared" si="16"/>
        <v>#N/A</v>
      </c>
      <c r="O389" s="136" t="e">
        <f t="shared" si="17"/>
        <v>#N/A</v>
      </c>
    </row>
    <row r="390" spans="1:15" ht="22.05" customHeight="1" x14ac:dyDescent="0.3">
      <c r="A390" s="136">
        <v>346</v>
      </c>
      <c r="B390" s="165" t="str">
        <f>IF($A390&gt;MIN($A$10,$A$2),"",INDEX(DemoHistory[Date],$A390))</f>
        <v/>
      </c>
      <c r="C390" s="166" t="str">
        <f>IF(OR($A390&gt;MIN($A$10,$A$2),$A$5=""),"",INDEX(DemoHistory[],$A390,MATCH($A$5,DemoHistory[#Headers],0)))</f>
        <v/>
      </c>
      <c r="D390" s="166" t="str">
        <f>IF($A390&gt;MIN($A$10,$A$2),"",IF(AND($A$12,$A$6=1,B390&lt;$A$7,$A$7&lt;=MAX(DemoHistory[Date])),$A$8,1))</f>
        <v/>
      </c>
      <c r="E390" s="166" t="str">
        <f t="shared" si="15"/>
        <v/>
      </c>
      <c r="F390" s="166" t="str">
        <f>IF($A390&gt;MIN($A$10,$A$2),"",IF($A390&lt;50,"n.a.",IF(COUNT(INDEX(StockDaily[Adjusted close],MAX(1,$A390-50+1)):E390)=50,AVERAGE(INDEX(StockDaily[Adjusted close],MAX(1,$A390-50+1)):E390),"n.a.")))</f>
        <v/>
      </c>
      <c r="G390" s="166" t="str">
        <f>IF($A390&gt;MIN($A$10,$A$2),"",IF($A390&lt;200,"n.a.",IF(COUNT(INDEX(StockDaily[Adjusted close],MAX(1,$A390-200+1)):E390)=200,AVERAGE(INDEX(StockDaily[Adjusted close],MAX(1,$A390-200+1)):E390),"n.a.")))</f>
        <v/>
      </c>
      <c r="H390" s="136" t="str">
        <f>IF($A390&gt;MIN($A$10,$A$2),"",IF($A$5="","Choose stock",IF(NOT($A$12),"Check split rule",IF(NOT(ISNUMBER(B390)),"Invalid date",IF(OR(B390&lt;=0,B390&lt;&gt;INT(B390)),"Invalid date",IF(COUNTIFS(DemoHistory[Date],B390)&lt;&gt;1,"Duplicate date",IF(AND($A390&gt;1,B390&lt;=B389),"Dates out of order",IF(NOT(ISNUMBER(C390)),"Missing price",IF(C390&lt;=0,"Nonpositive price","OK")))))))))</f>
        <v/>
      </c>
      <c r="I390" s="136"/>
      <c r="J390" s="136"/>
      <c r="K390" s="136"/>
      <c r="L390" s="136"/>
      <c r="M390" s="136"/>
      <c r="N390" s="136" t="e">
        <f t="shared" si="16"/>
        <v>#N/A</v>
      </c>
      <c r="O390" s="136" t="e">
        <f t="shared" si="17"/>
        <v>#N/A</v>
      </c>
    </row>
    <row r="391" spans="1:15" ht="22.05" customHeight="1" x14ac:dyDescent="0.3">
      <c r="A391" s="136">
        <v>347</v>
      </c>
      <c r="B391" s="165" t="str">
        <f>IF($A391&gt;MIN($A$10,$A$2),"",INDEX(DemoHistory[Date],$A391))</f>
        <v/>
      </c>
      <c r="C391" s="166" t="str">
        <f>IF(OR($A391&gt;MIN($A$10,$A$2),$A$5=""),"",INDEX(DemoHistory[],$A391,MATCH($A$5,DemoHistory[#Headers],0)))</f>
        <v/>
      </c>
      <c r="D391" s="166" t="str">
        <f>IF($A391&gt;MIN($A$10,$A$2),"",IF(AND($A$12,$A$6=1,B391&lt;$A$7,$A$7&lt;=MAX(DemoHistory[Date])),$A$8,1))</f>
        <v/>
      </c>
      <c r="E391" s="166" t="str">
        <f t="shared" si="15"/>
        <v/>
      </c>
      <c r="F391" s="166" t="str">
        <f>IF($A391&gt;MIN($A$10,$A$2),"",IF($A391&lt;50,"n.a.",IF(COUNT(INDEX(StockDaily[Adjusted close],MAX(1,$A391-50+1)):E391)=50,AVERAGE(INDEX(StockDaily[Adjusted close],MAX(1,$A391-50+1)):E391),"n.a.")))</f>
        <v/>
      </c>
      <c r="G391" s="166" t="str">
        <f>IF($A391&gt;MIN($A$10,$A$2),"",IF($A391&lt;200,"n.a.",IF(COUNT(INDEX(StockDaily[Adjusted close],MAX(1,$A391-200+1)):E391)=200,AVERAGE(INDEX(StockDaily[Adjusted close],MAX(1,$A391-200+1)):E391),"n.a.")))</f>
        <v/>
      </c>
      <c r="H391" s="136" t="str">
        <f>IF($A391&gt;MIN($A$10,$A$2),"",IF($A$5="","Choose stock",IF(NOT($A$12),"Check split rule",IF(NOT(ISNUMBER(B391)),"Invalid date",IF(OR(B391&lt;=0,B391&lt;&gt;INT(B391)),"Invalid date",IF(COUNTIFS(DemoHistory[Date],B391)&lt;&gt;1,"Duplicate date",IF(AND($A391&gt;1,B391&lt;=B390),"Dates out of order",IF(NOT(ISNUMBER(C391)),"Missing price",IF(C391&lt;=0,"Nonpositive price","OK")))))))))</f>
        <v/>
      </c>
      <c r="I391" s="136"/>
      <c r="J391" s="136"/>
      <c r="K391" s="136"/>
      <c r="L391" s="136"/>
      <c r="M391" s="136"/>
      <c r="N391" s="136" t="e">
        <f t="shared" si="16"/>
        <v>#N/A</v>
      </c>
      <c r="O391" s="136" t="e">
        <f t="shared" si="17"/>
        <v>#N/A</v>
      </c>
    </row>
    <row r="392" spans="1:15" ht="22.05" customHeight="1" x14ac:dyDescent="0.3">
      <c r="A392" s="136">
        <v>348</v>
      </c>
      <c r="B392" s="165" t="str">
        <f>IF($A392&gt;MIN($A$10,$A$2),"",INDEX(DemoHistory[Date],$A392))</f>
        <v/>
      </c>
      <c r="C392" s="166" t="str">
        <f>IF(OR($A392&gt;MIN($A$10,$A$2),$A$5=""),"",INDEX(DemoHistory[],$A392,MATCH($A$5,DemoHistory[#Headers],0)))</f>
        <v/>
      </c>
      <c r="D392" s="166" t="str">
        <f>IF($A392&gt;MIN($A$10,$A$2),"",IF(AND($A$12,$A$6=1,B392&lt;$A$7,$A$7&lt;=MAX(DemoHistory[Date])),$A$8,1))</f>
        <v/>
      </c>
      <c r="E392" s="166" t="str">
        <f t="shared" si="15"/>
        <v/>
      </c>
      <c r="F392" s="166" t="str">
        <f>IF($A392&gt;MIN($A$10,$A$2),"",IF($A392&lt;50,"n.a.",IF(COUNT(INDEX(StockDaily[Adjusted close],MAX(1,$A392-50+1)):E392)=50,AVERAGE(INDEX(StockDaily[Adjusted close],MAX(1,$A392-50+1)):E392),"n.a.")))</f>
        <v/>
      </c>
      <c r="G392" s="166" t="str">
        <f>IF($A392&gt;MIN($A$10,$A$2),"",IF($A392&lt;200,"n.a.",IF(COUNT(INDEX(StockDaily[Adjusted close],MAX(1,$A392-200+1)):E392)=200,AVERAGE(INDEX(StockDaily[Adjusted close],MAX(1,$A392-200+1)):E392),"n.a.")))</f>
        <v/>
      </c>
      <c r="H392" s="136" t="str">
        <f>IF($A392&gt;MIN($A$10,$A$2),"",IF($A$5="","Choose stock",IF(NOT($A$12),"Check split rule",IF(NOT(ISNUMBER(B392)),"Invalid date",IF(OR(B392&lt;=0,B392&lt;&gt;INT(B392)),"Invalid date",IF(COUNTIFS(DemoHistory[Date],B392)&lt;&gt;1,"Duplicate date",IF(AND($A392&gt;1,B392&lt;=B391),"Dates out of order",IF(NOT(ISNUMBER(C392)),"Missing price",IF(C392&lt;=0,"Nonpositive price","OK")))))))))</f>
        <v/>
      </c>
      <c r="I392" s="136"/>
      <c r="J392" s="136"/>
      <c r="K392" s="136"/>
      <c r="L392" s="136"/>
      <c r="M392" s="136"/>
      <c r="N392" s="136" t="e">
        <f t="shared" si="16"/>
        <v>#N/A</v>
      </c>
      <c r="O392" s="136" t="e">
        <f t="shared" si="17"/>
        <v>#N/A</v>
      </c>
    </row>
    <row r="393" spans="1:15" ht="22.05" customHeight="1" x14ac:dyDescent="0.3">
      <c r="A393" s="136">
        <v>349</v>
      </c>
      <c r="B393" s="165" t="str">
        <f>IF($A393&gt;MIN($A$10,$A$2),"",INDEX(DemoHistory[Date],$A393))</f>
        <v/>
      </c>
      <c r="C393" s="166" t="str">
        <f>IF(OR($A393&gt;MIN($A$10,$A$2),$A$5=""),"",INDEX(DemoHistory[],$A393,MATCH($A$5,DemoHistory[#Headers],0)))</f>
        <v/>
      </c>
      <c r="D393" s="166" t="str">
        <f>IF($A393&gt;MIN($A$10,$A$2),"",IF(AND($A$12,$A$6=1,B393&lt;$A$7,$A$7&lt;=MAX(DemoHistory[Date])),$A$8,1))</f>
        <v/>
      </c>
      <c r="E393" s="166" t="str">
        <f t="shared" si="15"/>
        <v/>
      </c>
      <c r="F393" s="166" t="str">
        <f>IF($A393&gt;MIN($A$10,$A$2),"",IF($A393&lt;50,"n.a.",IF(COUNT(INDEX(StockDaily[Adjusted close],MAX(1,$A393-50+1)):E393)=50,AVERAGE(INDEX(StockDaily[Adjusted close],MAX(1,$A393-50+1)):E393),"n.a.")))</f>
        <v/>
      </c>
      <c r="G393" s="166" t="str">
        <f>IF($A393&gt;MIN($A$10,$A$2),"",IF($A393&lt;200,"n.a.",IF(COUNT(INDEX(StockDaily[Adjusted close],MAX(1,$A393-200+1)):E393)=200,AVERAGE(INDEX(StockDaily[Adjusted close],MAX(1,$A393-200+1)):E393),"n.a.")))</f>
        <v/>
      </c>
      <c r="H393" s="136" t="str">
        <f>IF($A393&gt;MIN($A$10,$A$2),"",IF($A$5="","Choose stock",IF(NOT($A$12),"Check split rule",IF(NOT(ISNUMBER(B393)),"Invalid date",IF(OR(B393&lt;=0,B393&lt;&gt;INT(B393)),"Invalid date",IF(COUNTIFS(DemoHistory[Date],B393)&lt;&gt;1,"Duplicate date",IF(AND($A393&gt;1,B393&lt;=B392),"Dates out of order",IF(NOT(ISNUMBER(C393)),"Missing price",IF(C393&lt;=0,"Nonpositive price","OK")))))))))</f>
        <v/>
      </c>
      <c r="I393" s="136"/>
      <c r="J393" s="136"/>
      <c r="K393" s="136"/>
      <c r="L393" s="136"/>
      <c r="M393" s="136"/>
      <c r="N393" s="136" t="e">
        <f t="shared" si="16"/>
        <v>#N/A</v>
      </c>
      <c r="O393" s="136" t="e">
        <f t="shared" si="17"/>
        <v>#N/A</v>
      </c>
    </row>
    <row r="394" spans="1:15" ht="22.05" customHeight="1" x14ac:dyDescent="0.3">
      <c r="A394" s="136">
        <v>350</v>
      </c>
      <c r="B394" s="165" t="str">
        <f>IF($A394&gt;MIN($A$10,$A$2),"",INDEX(DemoHistory[Date],$A394))</f>
        <v/>
      </c>
      <c r="C394" s="166" t="str">
        <f>IF(OR($A394&gt;MIN($A$10,$A$2),$A$5=""),"",INDEX(DemoHistory[],$A394,MATCH($A$5,DemoHistory[#Headers],0)))</f>
        <v/>
      </c>
      <c r="D394" s="166" t="str">
        <f>IF($A394&gt;MIN($A$10,$A$2),"",IF(AND($A$12,$A$6=1,B394&lt;$A$7,$A$7&lt;=MAX(DemoHistory[Date])),$A$8,1))</f>
        <v/>
      </c>
      <c r="E394" s="166" t="str">
        <f t="shared" si="15"/>
        <v/>
      </c>
      <c r="F394" s="166" t="str">
        <f>IF($A394&gt;MIN($A$10,$A$2),"",IF($A394&lt;50,"n.a.",IF(COUNT(INDEX(StockDaily[Adjusted close],MAX(1,$A394-50+1)):E394)=50,AVERAGE(INDEX(StockDaily[Adjusted close],MAX(1,$A394-50+1)):E394),"n.a.")))</f>
        <v/>
      </c>
      <c r="G394" s="166" t="str">
        <f>IF($A394&gt;MIN($A$10,$A$2),"",IF($A394&lt;200,"n.a.",IF(COUNT(INDEX(StockDaily[Adjusted close],MAX(1,$A394-200+1)):E394)=200,AVERAGE(INDEX(StockDaily[Adjusted close],MAX(1,$A394-200+1)):E394),"n.a.")))</f>
        <v/>
      </c>
      <c r="H394" s="136" t="str">
        <f>IF($A394&gt;MIN($A$10,$A$2),"",IF($A$5="","Choose stock",IF(NOT($A$12),"Check split rule",IF(NOT(ISNUMBER(B394)),"Invalid date",IF(OR(B394&lt;=0,B394&lt;&gt;INT(B394)),"Invalid date",IF(COUNTIFS(DemoHistory[Date],B394)&lt;&gt;1,"Duplicate date",IF(AND($A394&gt;1,B394&lt;=B393),"Dates out of order",IF(NOT(ISNUMBER(C394)),"Missing price",IF(C394&lt;=0,"Nonpositive price","OK")))))))))</f>
        <v/>
      </c>
      <c r="I394" s="136"/>
      <c r="J394" s="136"/>
      <c r="K394" s="136"/>
      <c r="L394" s="136"/>
      <c r="M394" s="136"/>
      <c r="N394" s="136" t="e">
        <f t="shared" si="16"/>
        <v>#N/A</v>
      </c>
      <c r="O394" s="136" t="e">
        <f t="shared" si="17"/>
        <v>#N/A</v>
      </c>
    </row>
    <row r="395" spans="1:15" ht="22.05" customHeight="1" x14ac:dyDescent="0.3">
      <c r="A395" s="136">
        <v>351</v>
      </c>
      <c r="B395" s="165" t="str">
        <f>IF($A395&gt;MIN($A$10,$A$2),"",INDEX(DemoHistory[Date],$A395))</f>
        <v/>
      </c>
      <c r="C395" s="166" t="str">
        <f>IF(OR($A395&gt;MIN($A$10,$A$2),$A$5=""),"",INDEX(DemoHistory[],$A395,MATCH($A$5,DemoHistory[#Headers],0)))</f>
        <v/>
      </c>
      <c r="D395" s="166" t="str">
        <f>IF($A395&gt;MIN($A$10,$A$2),"",IF(AND($A$12,$A$6=1,B395&lt;$A$7,$A$7&lt;=MAX(DemoHistory[Date])),$A$8,1))</f>
        <v/>
      </c>
      <c r="E395" s="166" t="str">
        <f t="shared" si="15"/>
        <v/>
      </c>
      <c r="F395" s="166" t="str">
        <f>IF($A395&gt;MIN($A$10,$A$2),"",IF($A395&lt;50,"n.a.",IF(COUNT(INDEX(StockDaily[Adjusted close],MAX(1,$A395-50+1)):E395)=50,AVERAGE(INDEX(StockDaily[Adjusted close],MAX(1,$A395-50+1)):E395),"n.a.")))</f>
        <v/>
      </c>
      <c r="G395" s="166" t="str">
        <f>IF($A395&gt;MIN($A$10,$A$2),"",IF($A395&lt;200,"n.a.",IF(COUNT(INDEX(StockDaily[Adjusted close],MAX(1,$A395-200+1)):E395)=200,AVERAGE(INDEX(StockDaily[Adjusted close],MAX(1,$A395-200+1)):E395),"n.a.")))</f>
        <v/>
      </c>
      <c r="H395" s="136" t="str">
        <f>IF($A395&gt;MIN($A$10,$A$2),"",IF($A$5="","Choose stock",IF(NOT($A$12),"Check split rule",IF(NOT(ISNUMBER(B395)),"Invalid date",IF(OR(B395&lt;=0,B395&lt;&gt;INT(B395)),"Invalid date",IF(COUNTIFS(DemoHistory[Date],B395)&lt;&gt;1,"Duplicate date",IF(AND($A395&gt;1,B395&lt;=B394),"Dates out of order",IF(NOT(ISNUMBER(C395)),"Missing price",IF(C395&lt;=0,"Nonpositive price","OK")))))))))</f>
        <v/>
      </c>
      <c r="I395" s="136"/>
      <c r="J395" s="136"/>
      <c r="K395" s="136"/>
      <c r="L395" s="136"/>
      <c r="M395" s="136"/>
      <c r="N395" s="136" t="e">
        <f t="shared" si="16"/>
        <v>#N/A</v>
      </c>
      <c r="O395" s="136" t="e">
        <f t="shared" si="17"/>
        <v>#N/A</v>
      </c>
    </row>
    <row r="396" spans="1:15" ht="22.05" customHeight="1" x14ac:dyDescent="0.3">
      <c r="A396" s="136">
        <v>352</v>
      </c>
      <c r="B396" s="165" t="str">
        <f>IF($A396&gt;MIN($A$10,$A$2),"",INDEX(DemoHistory[Date],$A396))</f>
        <v/>
      </c>
      <c r="C396" s="166" t="str">
        <f>IF(OR($A396&gt;MIN($A$10,$A$2),$A$5=""),"",INDEX(DemoHistory[],$A396,MATCH($A$5,DemoHistory[#Headers],0)))</f>
        <v/>
      </c>
      <c r="D396" s="166" t="str">
        <f>IF($A396&gt;MIN($A$10,$A$2),"",IF(AND($A$12,$A$6=1,B396&lt;$A$7,$A$7&lt;=MAX(DemoHistory[Date])),$A$8,1))</f>
        <v/>
      </c>
      <c r="E396" s="166" t="str">
        <f t="shared" si="15"/>
        <v/>
      </c>
      <c r="F396" s="166" t="str">
        <f>IF($A396&gt;MIN($A$10,$A$2),"",IF($A396&lt;50,"n.a.",IF(COUNT(INDEX(StockDaily[Adjusted close],MAX(1,$A396-50+1)):E396)=50,AVERAGE(INDEX(StockDaily[Adjusted close],MAX(1,$A396-50+1)):E396),"n.a.")))</f>
        <v/>
      </c>
      <c r="G396" s="166" t="str">
        <f>IF($A396&gt;MIN($A$10,$A$2),"",IF($A396&lt;200,"n.a.",IF(COUNT(INDEX(StockDaily[Adjusted close],MAX(1,$A396-200+1)):E396)=200,AVERAGE(INDEX(StockDaily[Adjusted close],MAX(1,$A396-200+1)):E396),"n.a.")))</f>
        <v/>
      </c>
      <c r="H396" s="136" t="str">
        <f>IF($A396&gt;MIN($A$10,$A$2),"",IF($A$5="","Choose stock",IF(NOT($A$12),"Check split rule",IF(NOT(ISNUMBER(B396)),"Invalid date",IF(OR(B396&lt;=0,B396&lt;&gt;INT(B396)),"Invalid date",IF(COUNTIFS(DemoHistory[Date],B396)&lt;&gt;1,"Duplicate date",IF(AND($A396&gt;1,B396&lt;=B395),"Dates out of order",IF(NOT(ISNUMBER(C396)),"Missing price",IF(C396&lt;=0,"Nonpositive price","OK")))))))))</f>
        <v/>
      </c>
      <c r="I396" s="136"/>
      <c r="J396" s="136"/>
      <c r="K396" s="136"/>
      <c r="L396" s="136"/>
      <c r="M396" s="136"/>
      <c r="N396" s="136" t="e">
        <f t="shared" si="16"/>
        <v>#N/A</v>
      </c>
      <c r="O396" s="136" t="e">
        <f t="shared" si="17"/>
        <v>#N/A</v>
      </c>
    </row>
    <row r="397" spans="1:15" ht="22.05" customHeight="1" x14ac:dyDescent="0.3">
      <c r="A397" s="136">
        <v>353</v>
      </c>
      <c r="B397" s="165" t="str">
        <f>IF($A397&gt;MIN($A$10,$A$2),"",INDEX(DemoHistory[Date],$A397))</f>
        <v/>
      </c>
      <c r="C397" s="166" t="str">
        <f>IF(OR($A397&gt;MIN($A$10,$A$2),$A$5=""),"",INDEX(DemoHistory[],$A397,MATCH($A$5,DemoHistory[#Headers],0)))</f>
        <v/>
      </c>
      <c r="D397" s="166" t="str">
        <f>IF($A397&gt;MIN($A$10,$A$2),"",IF(AND($A$12,$A$6=1,B397&lt;$A$7,$A$7&lt;=MAX(DemoHistory[Date])),$A$8,1))</f>
        <v/>
      </c>
      <c r="E397" s="166" t="str">
        <f t="shared" si="15"/>
        <v/>
      </c>
      <c r="F397" s="166" t="str">
        <f>IF($A397&gt;MIN($A$10,$A$2),"",IF($A397&lt;50,"n.a.",IF(COUNT(INDEX(StockDaily[Adjusted close],MAX(1,$A397-50+1)):E397)=50,AVERAGE(INDEX(StockDaily[Adjusted close],MAX(1,$A397-50+1)):E397),"n.a.")))</f>
        <v/>
      </c>
      <c r="G397" s="166" t="str">
        <f>IF($A397&gt;MIN($A$10,$A$2),"",IF($A397&lt;200,"n.a.",IF(COUNT(INDEX(StockDaily[Adjusted close],MAX(1,$A397-200+1)):E397)=200,AVERAGE(INDEX(StockDaily[Adjusted close],MAX(1,$A397-200+1)):E397),"n.a.")))</f>
        <v/>
      </c>
      <c r="H397" s="136" t="str">
        <f>IF($A397&gt;MIN($A$10,$A$2),"",IF($A$5="","Choose stock",IF(NOT($A$12),"Check split rule",IF(NOT(ISNUMBER(B397)),"Invalid date",IF(OR(B397&lt;=0,B397&lt;&gt;INT(B397)),"Invalid date",IF(COUNTIFS(DemoHistory[Date],B397)&lt;&gt;1,"Duplicate date",IF(AND($A397&gt;1,B397&lt;=B396),"Dates out of order",IF(NOT(ISNUMBER(C397)),"Missing price",IF(C397&lt;=0,"Nonpositive price","OK")))))))))</f>
        <v/>
      </c>
      <c r="I397" s="136"/>
      <c r="J397" s="136"/>
      <c r="K397" s="136"/>
      <c r="L397" s="136"/>
      <c r="M397" s="136"/>
      <c r="N397" s="136" t="e">
        <f t="shared" si="16"/>
        <v>#N/A</v>
      </c>
      <c r="O397" s="136" t="e">
        <f t="shared" si="17"/>
        <v>#N/A</v>
      </c>
    </row>
    <row r="398" spans="1:15" ht="22.05" customHeight="1" x14ac:dyDescent="0.3">
      <c r="A398" s="136">
        <v>354</v>
      </c>
      <c r="B398" s="165" t="str">
        <f>IF($A398&gt;MIN($A$10,$A$2),"",INDEX(DemoHistory[Date],$A398))</f>
        <v/>
      </c>
      <c r="C398" s="166" t="str">
        <f>IF(OR($A398&gt;MIN($A$10,$A$2),$A$5=""),"",INDEX(DemoHistory[],$A398,MATCH($A$5,DemoHistory[#Headers],0)))</f>
        <v/>
      </c>
      <c r="D398" s="166" t="str">
        <f>IF($A398&gt;MIN($A$10,$A$2),"",IF(AND($A$12,$A$6=1,B398&lt;$A$7,$A$7&lt;=MAX(DemoHistory[Date])),$A$8,1))</f>
        <v/>
      </c>
      <c r="E398" s="166" t="str">
        <f t="shared" si="15"/>
        <v/>
      </c>
      <c r="F398" s="166" t="str">
        <f>IF($A398&gt;MIN($A$10,$A$2),"",IF($A398&lt;50,"n.a.",IF(COUNT(INDEX(StockDaily[Adjusted close],MAX(1,$A398-50+1)):E398)=50,AVERAGE(INDEX(StockDaily[Adjusted close],MAX(1,$A398-50+1)):E398),"n.a.")))</f>
        <v/>
      </c>
      <c r="G398" s="166" t="str">
        <f>IF($A398&gt;MIN($A$10,$A$2),"",IF($A398&lt;200,"n.a.",IF(COUNT(INDEX(StockDaily[Adjusted close],MAX(1,$A398-200+1)):E398)=200,AVERAGE(INDEX(StockDaily[Adjusted close],MAX(1,$A398-200+1)):E398),"n.a.")))</f>
        <v/>
      </c>
      <c r="H398" s="136" t="str">
        <f>IF($A398&gt;MIN($A$10,$A$2),"",IF($A$5="","Choose stock",IF(NOT($A$12),"Check split rule",IF(NOT(ISNUMBER(B398)),"Invalid date",IF(OR(B398&lt;=0,B398&lt;&gt;INT(B398)),"Invalid date",IF(COUNTIFS(DemoHistory[Date],B398)&lt;&gt;1,"Duplicate date",IF(AND($A398&gt;1,B398&lt;=B397),"Dates out of order",IF(NOT(ISNUMBER(C398)),"Missing price",IF(C398&lt;=0,"Nonpositive price","OK")))))))))</f>
        <v/>
      </c>
      <c r="I398" s="136"/>
      <c r="J398" s="136"/>
      <c r="K398" s="136"/>
      <c r="L398" s="136"/>
      <c r="M398" s="136"/>
      <c r="N398" s="136" t="e">
        <f t="shared" si="16"/>
        <v>#N/A</v>
      </c>
      <c r="O398" s="136" t="e">
        <f t="shared" si="17"/>
        <v>#N/A</v>
      </c>
    </row>
    <row r="399" spans="1:15" ht="22.05" customHeight="1" x14ac:dyDescent="0.3">
      <c r="A399" s="136">
        <v>355</v>
      </c>
      <c r="B399" s="165" t="str">
        <f>IF($A399&gt;MIN($A$10,$A$2),"",INDEX(DemoHistory[Date],$A399))</f>
        <v/>
      </c>
      <c r="C399" s="166" t="str">
        <f>IF(OR($A399&gt;MIN($A$10,$A$2),$A$5=""),"",INDEX(DemoHistory[],$A399,MATCH($A$5,DemoHistory[#Headers],0)))</f>
        <v/>
      </c>
      <c r="D399" s="166" t="str">
        <f>IF($A399&gt;MIN($A$10,$A$2),"",IF(AND($A$12,$A$6=1,B399&lt;$A$7,$A$7&lt;=MAX(DemoHistory[Date])),$A$8,1))</f>
        <v/>
      </c>
      <c r="E399" s="166" t="str">
        <f t="shared" si="15"/>
        <v/>
      </c>
      <c r="F399" s="166" t="str">
        <f>IF($A399&gt;MIN($A$10,$A$2),"",IF($A399&lt;50,"n.a.",IF(COUNT(INDEX(StockDaily[Adjusted close],MAX(1,$A399-50+1)):E399)=50,AVERAGE(INDEX(StockDaily[Adjusted close],MAX(1,$A399-50+1)):E399),"n.a.")))</f>
        <v/>
      </c>
      <c r="G399" s="166" t="str">
        <f>IF($A399&gt;MIN($A$10,$A$2),"",IF($A399&lt;200,"n.a.",IF(COUNT(INDEX(StockDaily[Adjusted close],MAX(1,$A399-200+1)):E399)=200,AVERAGE(INDEX(StockDaily[Adjusted close],MAX(1,$A399-200+1)):E399),"n.a.")))</f>
        <v/>
      </c>
      <c r="H399" s="136" t="str">
        <f>IF($A399&gt;MIN($A$10,$A$2),"",IF($A$5="","Choose stock",IF(NOT($A$12),"Check split rule",IF(NOT(ISNUMBER(B399)),"Invalid date",IF(OR(B399&lt;=0,B399&lt;&gt;INT(B399)),"Invalid date",IF(COUNTIFS(DemoHistory[Date],B399)&lt;&gt;1,"Duplicate date",IF(AND($A399&gt;1,B399&lt;=B398),"Dates out of order",IF(NOT(ISNUMBER(C399)),"Missing price",IF(C399&lt;=0,"Nonpositive price","OK")))))))))</f>
        <v/>
      </c>
      <c r="I399" s="136"/>
      <c r="J399" s="136"/>
      <c r="K399" s="136"/>
      <c r="L399" s="136"/>
      <c r="M399" s="136"/>
      <c r="N399" s="136" t="e">
        <f t="shared" si="16"/>
        <v>#N/A</v>
      </c>
      <c r="O399" s="136" t="e">
        <f t="shared" si="17"/>
        <v>#N/A</v>
      </c>
    </row>
    <row r="400" spans="1:15" ht="22.05" customHeight="1" x14ac:dyDescent="0.3">
      <c r="A400" s="136">
        <v>356</v>
      </c>
      <c r="B400" s="165" t="str">
        <f>IF($A400&gt;MIN($A$10,$A$2),"",INDEX(DemoHistory[Date],$A400))</f>
        <v/>
      </c>
      <c r="C400" s="166" t="str">
        <f>IF(OR($A400&gt;MIN($A$10,$A$2),$A$5=""),"",INDEX(DemoHistory[],$A400,MATCH($A$5,DemoHistory[#Headers],0)))</f>
        <v/>
      </c>
      <c r="D400" s="166" t="str">
        <f>IF($A400&gt;MIN($A$10,$A$2),"",IF(AND($A$12,$A$6=1,B400&lt;$A$7,$A$7&lt;=MAX(DemoHistory[Date])),$A$8,1))</f>
        <v/>
      </c>
      <c r="E400" s="166" t="str">
        <f t="shared" si="15"/>
        <v/>
      </c>
      <c r="F400" s="166" t="str">
        <f>IF($A400&gt;MIN($A$10,$A$2),"",IF($A400&lt;50,"n.a.",IF(COUNT(INDEX(StockDaily[Adjusted close],MAX(1,$A400-50+1)):E400)=50,AVERAGE(INDEX(StockDaily[Adjusted close],MAX(1,$A400-50+1)):E400),"n.a.")))</f>
        <v/>
      </c>
      <c r="G400" s="166" t="str">
        <f>IF($A400&gt;MIN($A$10,$A$2),"",IF($A400&lt;200,"n.a.",IF(COUNT(INDEX(StockDaily[Adjusted close],MAX(1,$A400-200+1)):E400)=200,AVERAGE(INDEX(StockDaily[Adjusted close],MAX(1,$A400-200+1)):E400),"n.a.")))</f>
        <v/>
      </c>
      <c r="H400" s="136" t="str">
        <f>IF($A400&gt;MIN($A$10,$A$2),"",IF($A$5="","Choose stock",IF(NOT($A$12),"Check split rule",IF(NOT(ISNUMBER(B400)),"Invalid date",IF(OR(B400&lt;=0,B400&lt;&gt;INT(B400)),"Invalid date",IF(COUNTIFS(DemoHistory[Date],B400)&lt;&gt;1,"Duplicate date",IF(AND($A400&gt;1,B400&lt;=B399),"Dates out of order",IF(NOT(ISNUMBER(C400)),"Missing price",IF(C400&lt;=0,"Nonpositive price","OK")))))))))</f>
        <v/>
      </c>
      <c r="I400" s="136"/>
      <c r="J400" s="136"/>
      <c r="K400" s="136"/>
      <c r="L400" s="136"/>
      <c r="M400" s="136"/>
      <c r="N400" s="136" t="e">
        <f t="shared" si="16"/>
        <v>#N/A</v>
      </c>
      <c r="O400" s="136" t="e">
        <f t="shared" si="17"/>
        <v>#N/A</v>
      </c>
    </row>
    <row r="401" spans="1:15" ht="22.05" customHeight="1" x14ac:dyDescent="0.3">
      <c r="A401" s="136">
        <v>357</v>
      </c>
      <c r="B401" s="165" t="str">
        <f>IF($A401&gt;MIN($A$10,$A$2),"",INDEX(DemoHistory[Date],$A401))</f>
        <v/>
      </c>
      <c r="C401" s="166" t="str">
        <f>IF(OR($A401&gt;MIN($A$10,$A$2),$A$5=""),"",INDEX(DemoHistory[],$A401,MATCH($A$5,DemoHistory[#Headers],0)))</f>
        <v/>
      </c>
      <c r="D401" s="166" t="str">
        <f>IF($A401&gt;MIN($A$10,$A$2),"",IF(AND($A$12,$A$6=1,B401&lt;$A$7,$A$7&lt;=MAX(DemoHistory[Date])),$A$8,1))</f>
        <v/>
      </c>
      <c r="E401" s="166" t="str">
        <f t="shared" si="15"/>
        <v/>
      </c>
      <c r="F401" s="166" t="str">
        <f>IF($A401&gt;MIN($A$10,$A$2),"",IF($A401&lt;50,"n.a.",IF(COUNT(INDEX(StockDaily[Adjusted close],MAX(1,$A401-50+1)):E401)=50,AVERAGE(INDEX(StockDaily[Adjusted close],MAX(1,$A401-50+1)):E401),"n.a.")))</f>
        <v/>
      </c>
      <c r="G401" s="166" t="str">
        <f>IF($A401&gt;MIN($A$10,$A$2),"",IF($A401&lt;200,"n.a.",IF(COUNT(INDEX(StockDaily[Adjusted close],MAX(1,$A401-200+1)):E401)=200,AVERAGE(INDEX(StockDaily[Adjusted close],MAX(1,$A401-200+1)):E401),"n.a.")))</f>
        <v/>
      </c>
      <c r="H401" s="136" t="str">
        <f>IF($A401&gt;MIN($A$10,$A$2),"",IF($A$5="","Choose stock",IF(NOT($A$12),"Check split rule",IF(NOT(ISNUMBER(B401)),"Invalid date",IF(OR(B401&lt;=0,B401&lt;&gt;INT(B401)),"Invalid date",IF(COUNTIFS(DemoHistory[Date],B401)&lt;&gt;1,"Duplicate date",IF(AND($A401&gt;1,B401&lt;=B400),"Dates out of order",IF(NOT(ISNUMBER(C401)),"Missing price",IF(C401&lt;=0,"Nonpositive price","OK")))))))))</f>
        <v/>
      </c>
      <c r="I401" s="136"/>
      <c r="J401" s="136"/>
      <c r="K401" s="136"/>
      <c r="L401" s="136"/>
      <c r="M401" s="136"/>
      <c r="N401" s="136" t="e">
        <f t="shared" si="16"/>
        <v>#N/A</v>
      </c>
      <c r="O401" s="136" t="e">
        <f t="shared" si="17"/>
        <v>#N/A</v>
      </c>
    </row>
    <row r="402" spans="1:15" ht="22.05" customHeight="1" x14ac:dyDescent="0.3">
      <c r="A402" s="136">
        <v>358</v>
      </c>
      <c r="B402" s="165" t="str">
        <f>IF($A402&gt;MIN($A$10,$A$2),"",INDEX(DemoHistory[Date],$A402))</f>
        <v/>
      </c>
      <c r="C402" s="166" t="str">
        <f>IF(OR($A402&gt;MIN($A$10,$A$2),$A$5=""),"",INDEX(DemoHistory[],$A402,MATCH($A$5,DemoHistory[#Headers],0)))</f>
        <v/>
      </c>
      <c r="D402" s="166" t="str">
        <f>IF($A402&gt;MIN($A$10,$A$2),"",IF(AND($A$12,$A$6=1,B402&lt;$A$7,$A$7&lt;=MAX(DemoHistory[Date])),$A$8,1))</f>
        <v/>
      </c>
      <c r="E402" s="166" t="str">
        <f t="shared" si="15"/>
        <v/>
      </c>
      <c r="F402" s="166" t="str">
        <f>IF($A402&gt;MIN($A$10,$A$2),"",IF($A402&lt;50,"n.a.",IF(COUNT(INDEX(StockDaily[Adjusted close],MAX(1,$A402-50+1)):E402)=50,AVERAGE(INDEX(StockDaily[Adjusted close],MAX(1,$A402-50+1)):E402),"n.a.")))</f>
        <v/>
      </c>
      <c r="G402" s="166" t="str">
        <f>IF($A402&gt;MIN($A$10,$A$2),"",IF($A402&lt;200,"n.a.",IF(COUNT(INDEX(StockDaily[Adjusted close],MAX(1,$A402-200+1)):E402)=200,AVERAGE(INDEX(StockDaily[Adjusted close],MAX(1,$A402-200+1)):E402),"n.a.")))</f>
        <v/>
      </c>
      <c r="H402" s="136" t="str">
        <f>IF($A402&gt;MIN($A$10,$A$2),"",IF($A$5="","Choose stock",IF(NOT($A$12),"Check split rule",IF(NOT(ISNUMBER(B402)),"Invalid date",IF(OR(B402&lt;=0,B402&lt;&gt;INT(B402)),"Invalid date",IF(COUNTIFS(DemoHistory[Date],B402)&lt;&gt;1,"Duplicate date",IF(AND($A402&gt;1,B402&lt;=B401),"Dates out of order",IF(NOT(ISNUMBER(C402)),"Missing price",IF(C402&lt;=0,"Nonpositive price","OK")))))))))</f>
        <v/>
      </c>
      <c r="I402" s="136"/>
      <c r="J402" s="136"/>
      <c r="K402" s="136"/>
      <c r="L402" s="136"/>
      <c r="M402" s="136"/>
      <c r="N402" s="136" t="e">
        <f t="shared" si="16"/>
        <v>#N/A</v>
      </c>
      <c r="O402" s="136" t="e">
        <f t="shared" si="17"/>
        <v>#N/A</v>
      </c>
    </row>
    <row r="403" spans="1:15" ht="22.05" customHeight="1" x14ac:dyDescent="0.3">
      <c r="A403" s="136">
        <v>359</v>
      </c>
      <c r="B403" s="165" t="str">
        <f>IF($A403&gt;MIN($A$10,$A$2),"",INDEX(DemoHistory[Date],$A403))</f>
        <v/>
      </c>
      <c r="C403" s="166" t="str">
        <f>IF(OR($A403&gt;MIN($A$10,$A$2),$A$5=""),"",INDEX(DemoHistory[],$A403,MATCH($A$5,DemoHistory[#Headers],0)))</f>
        <v/>
      </c>
      <c r="D403" s="166" t="str">
        <f>IF($A403&gt;MIN($A$10,$A$2),"",IF(AND($A$12,$A$6=1,B403&lt;$A$7,$A$7&lt;=MAX(DemoHistory[Date])),$A$8,1))</f>
        <v/>
      </c>
      <c r="E403" s="166" t="str">
        <f t="shared" si="15"/>
        <v/>
      </c>
      <c r="F403" s="166" t="str">
        <f>IF($A403&gt;MIN($A$10,$A$2),"",IF($A403&lt;50,"n.a.",IF(COUNT(INDEX(StockDaily[Adjusted close],MAX(1,$A403-50+1)):E403)=50,AVERAGE(INDEX(StockDaily[Adjusted close],MAX(1,$A403-50+1)):E403),"n.a.")))</f>
        <v/>
      </c>
      <c r="G403" s="166" t="str">
        <f>IF($A403&gt;MIN($A$10,$A$2),"",IF($A403&lt;200,"n.a.",IF(COUNT(INDEX(StockDaily[Adjusted close],MAX(1,$A403-200+1)):E403)=200,AVERAGE(INDEX(StockDaily[Adjusted close],MAX(1,$A403-200+1)):E403),"n.a.")))</f>
        <v/>
      </c>
      <c r="H403" s="136" t="str">
        <f>IF($A403&gt;MIN($A$10,$A$2),"",IF($A$5="","Choose stock",IF(NOT($A$12),"Check split rule",IF(NOT(ISNUMBER(B403)),"Invalid date",IF(OR(B403&lt;=0,B403&lt;&gt;INT(B403)),"Invalid date",IF(COUNTIFS(DemoHistory[Date],B403)&lt;&gt;1,"Duplicate date",IF(AND($A403&gt;1,B403&lt;=B402),"Dates out of order",IF(NOT(ISNUMBER(C403)),"Missing price",IF(C403&lt;=0,"Nonpositive price","OK")))))))))</f>
        <v/>
      </c>
      <c r="I403" s="136"/>
      <c r="J403" s="136"/>
      <c r="K403" s="136"/>
      <c r="L403" s="136"/>
      <c r="M403" s="136"/>
      <c r="N403" s="136" t="e">
        <f t="shared" si="16"/>
        <v>#N/A</v>
      </c>
      <c r="O403" s="136" t="e">
        <f t="shared" si="17"/>
        <v>#N/A</v>
      </c>
    </row>
    <row r="404" spans="1:15" ht="22.05" customHeight="1" x14ac:dyDescent="0.3">
      <c r="A404" s="136">
        <v>360</v>
      </c>
      <c r="B404" s="165" t="str">
        <f>IF($A404&gt;MIN($A$10,$A$2),"",INDEX(DemoHistory[Date],$A404))</f>
        <v/>
      </c>
      <c r="C404" s="166" t="str">
        <f>IF(OR($A404&gt;MIN($A$10,$A$2),$A$5=""),"",INDEX(DemoHistory[],$A404,MATCH($A$5,DemoHistory[#Headers],0)))</f>
        <v/>
      </c>
      <c r="D404" s="166" t="str">
        <f>IF($A404&gt;MIN($A$10,$A$2),"",IF(AND($A$12,$A$6=1,B404&lt;$A$7,$A$7&lt;=MAX(DemoHistory[Date])),$A$8,1))</f>
        <v/>
      </c>
      <c r="E404" s="166" t="str">
        <f t="shared" si="15"/>
        <v/>
      </c>
      <c r="F404" s="166" t="str">
        <f>IF($A404&gt;MIN($A$10,$A$2),"",IF($A404&lt;50,"n.a.",IF(COUNT(INDEX(StockDaily[Adjusted close],MAX(1,$A404-50+1)):E404)=50,AVERAGE(INDEX(StockDaily[Adjusted close],MAX(1,$A404-50+1)):E404),"n.a.")))</f>
        <v/>
      </c>
      <c r="G404" s="166" t="str">
        <f>IF($A404&gt;MIN($A$10,$A$2),"",IF($A404&lt;200,"n.a.",IF(COUNT(INDEX(StockDaily[Adjusted close],MAX(1,$A404-200+1)):E404)=200,AVERAGE(INDEX(StockDaily[Adjusted close],MAX(1,$A404-200+1)):E404),"n.a.")))</f>
        <v/>
      </c>
      <c r="H404" s="136" t="str">
        <f>IF($A404&gt;MIN($A$10,$A$2),"",IF($A$5="","Choose stock",IF(NOT($A$12),"Check split rule",IF(NOT(ISNUMBER(B404)),"Invalid date",IF(OR(B404&lt;=0,B404&lt;&gt;INT(B404)),"Invalid date",IF(COUNTIFS(DemoHistory[Date],B404)&lt;&gt;1,"Duplicate date",IF(AND($A404&gt;1,B404&lt;=B403),"Dates out of order",IF(NOT(ISNUMBER(C404)),"Missing price",IF(C404&lt;=0,"Nonpositive price","OK")))))))))</f>
        <v/>
      </c>
      <c r="I404" s="136"/>
      <c r="J404" s="136"/>
      <c r="K404" s="136"/>
      <c r="L404" s="136"/>
      <c r="M404" s="136"/>
      <c r="N404" s="136" t="e">
        <f t="shared" si="16"/>
        <v>#N/A</v>
      </c>
      <c r="O404" s="136" t="e">
        <f t="shared" si="17"/>
        <v>#N/A</v>
      </c>
    </row>
    <row r="405" spans="1:15" ht="22.05" customHeight="1" x14ac:dyDescent="0.3">
      <c r="A405" s="136">
        <v>361</v>
      </c>
      <c r="B405" s="165" t="str">
        <f>IF($A405&gt;MIN($A$10,$A$2),"",INDEX(DemoHistory[Date],$A405))</f>
        <v/>
      </c>
      <c r="C405" s="166" t="str">
        <f>IF(OR($A405&gt;MIN($A$10,$A$2),$A$5=""),"",INDEX(DemoHistory[],$A405,MATCH($A$5,DemoHistory[#Headers],0)))</f>
        <v/>
      </c>
      <c r="D405" s="166" t="str">
        <f>IF($A405&gt;MIN($A$10,$A$2),"",IF(AND($A$12,$A$6=1,B405&lt;$A$7,$A$7&lt;=MAX(DemoHistory[Date])),$A$8,1))</f>
        <v/>
      </c>
      <c r="E405" s="166" t="str">
        <f t="shared" si="15"/>
        <v/>
      </c>
      <c r="F405" s="166" t="str">
        <f>IF($A405&gt;MIN($A$10,$A$2),"",IF($A405&lt;50,"n.a.",IF(COUNT(INDEX(StockDaily[Adjusted close],MAX(1,$A405-50+1)):E405)=50,AVERAGE(INDEX(StockDaily[Adjusted close],MAX(1,$A405-50+1)):E405),"n.a.")))</f>
        <v/>
      </c>
      <c r="G405" s="166" t="str">
        <f>IF($A405&gt;MIN($A$10,$A$2),"",IF($A405&lt;200,"n.a.",IF(COUNT(INDEX(StockDaily[Adjusted close],MAX(1,$A405-200+1)):E405)=200,AVERAGE(INDEX(StockDaily[Adjusted close],MAX(1,$A405-200+1)):E405),"n.a.")))</f>
        <v/>
      </c>
      <c r="H405" s="136" t="str">
        <f>IF($A405&gt;MIN($A$10,$A$2),"",IF($A$5="","Choose stock",IF(NOT($A$12),"Check split rule",IF(NOT(ISNUMBER(B405)),"Invalid date",IF(OR(B405&lt;=0,B405&lt;&gt;INT(B405)),"Invalid date",IF(COUNTIFS(DemoHistory[Date],B405)&lt;&gt;1,"Duplicate date",IF(AND($A405&gt;1,B405&lt;=B404),"Dates out of order",IF(NOT(ISNUMBER(C405)),"Missing price",IF(C405&lt;=0,"Nonpositive price","OK")))))))))</f>
        <v/>
      </c>
      <c r="I405" s="136"/>
      <c r="J405" s="136"/>
      <c r="K405" s="136"/>
      <c r="L405" s="136"/>
      <c r="M405" s="136"/>
      <c r="N405" s="136" t="e">
        <f t="shared" si="16"/>
        <v>#N/A</v>
      </c>
      <c r="O405" s="136" t="e">
        <f t="shared" si="17"/>
        <v>#N/A</v>
      </c>
    </row>
    <row r="406" spans="1:15" ht="22.05" customHeight="1" x14ac:dyDescent="0.3">
      <c r="A406" s="136">
        <v>362</v>
      </c>
      <c r="B406" s="165" t="str">
        <f>IF($A406&gt;MIN($A$10,$A$2),"",INDEX(DemoHistory[Date],$A406))</f>
        <v/>
      </c>
      <c r="C406" s="166" t="str">
        <f>IF(OR($A406&gt;MIN($A$10,$A$2),$A$5=""),"",INDEX(DemoHistory[],$A406,MATCH($A$5,DemoHistory[#Headers],0)))</f>
        <v/>
      </c>
      <c r="D406" s="166" t="str">
        <f>IF($A406&gt;MIN($A$10,$A$2),"",IF(AND($A$12,$A$6=1,B406&lt;$A$7,$A$7&lt;=MAX(DemoHistory[Date])),$A$8,1))</f>
        <v/>
      </c>
      <c r="E406" s="166" t="str">
        <f t="shared" si="15"/>
        <v/>
      </c>
      <c r="F406" s="166" t="str">
        <f>IF($A406&gt;MIN($A$10,$A$2),"",IF($A406&lt;50,"n.a.",IF(COUNT(INDEX(StockDaily[Adjusted close],MAX(1,$A406-50+1)):E406)=50,AVERAGE(INDEX(StockDaily[Adjusted close],MAX(1,$A406-50+1)):E406),"n.a.")))</f>
        <v/>
      </c>
      <c r="G406" s="166" t="str">
        <f>IF($A406&gt;MIN($A$10,$A$2),"",IF($A406&lt;200,"n.a.",IF(COUNT(INDEX(StockDaily[Adjusted close],MAX(1,$A406-200+1)):E406)=200,AVERAGE(INDEX(StockDaily[Adjusted close],MAX(1,$A406-200+1)):E406),"n.a.")))</f>
        <v/>
      </c>
      <c r="H406" s="136" t="str">
        <f>IF($A406&gt;MIN($A$10,$A$2),"",IF($A$5="","Choose stock",IF(NOT($A$12),"Check split rule",IF(NOT(ISNUMBER(B406)),"Invalid date",IF(OR(B406&lt;=0,B406&lt;&gt;INT(B406)),"Invalid date",IF(COUNTIFS(DemoHistory[Date],B406)&lt;&gt;1,"Duplicate date",IF(AND($A406&gt;1,B406&lt;=B405),"Dates out of order",IF(NOT(ISNUMBER(C406)),"Missing price",IF(C406&lt;=0,"Nonpositive price","OK")))))))))</f>
        <v/>
      </c>
      <c r="I406" s="136"/>
      <c r="J406" s="136"/>
      <c r="K406" s="136"/>
      <c r="L406" s="136"/>
      <c r="M406" s="136"/>
      <c r="N406" s="136" t="e">
        <f t="shared" si="16"/>
        <v>#N/A</v>
      </c>
      <c r="O406" s="136" t="e">
        <f t="shared" si="17"/>
        <v>#N/A</v>
      </c>
    </row>
    <row r="407" spans="1:15" ht="22.05" customHeight="1" x14ac:dyDescent="0.3">
      <c r="A407" s="136">
        <v>363</v>
      </c>
      <c r="B407" s="165" t="str">
        <f>IF($A407&gt;MIN($A$10,$A$2),"",INDEX(DemoHistory[Date],$A407))</f>
        <v/>
      </c>
      <c r="C407" s="166" t="str">
        <f>IF(OR($A407&gt;MIN($A$10,$A$2),$A$5=""),"",INDEX(DemoHistory[],$A407,MATCH($A$5,DemoHistory[#Headers],0)))</f>
        <v/>
      </c>
      <c r="D407" s="166" t="str">
        <f>IF($A407&gt;MIN($A$10,$A$2),"",IF(AND($A$12,$A$6=1,B407&lt;$A$7,$A$7&lt;=MAX(DemoHistory[Date])),$A$8,1))</f>
        <v/>
      </c>
      <c r="E407" s="166" t="str">
        <f t="shared" si="15"/>
        <v/>
      </c>
      <c r="F407" s="166" t="str">
        <f>IF($A407&gt;MIN($A$10,$A$2),"",IF($A407&lt;50,"n.a.",IF(COUNT(INDEX(StockDaily[Adjusted close],MAX(1,$A407-50+1)):E407)=50,AVERAGE(INDEX(StockDaily[Adjusted close],MAX(1,$A407-50+1)):E407),"n.a.")))</f>
        <v/>
      </c>
      <c r="G407" s="166" t="str">
        <f>IF($A407&gt;MIN($A$10,$A$2),"",IF($A407&lt;200,"n.a.",IF(COUNT(INDEX(StockDaily[Adjusted close],MAX(1,$A407-200+1)):E407)=200,AVERAGE(INDEX(StockDaily[Adjusted close],MAX(1,$A407-200+1)):E407),"n.a.")))</f>
        <v/>
      </c>
      <c r="H407" s="136" t="str">
        <f>IF($A407&gt;MIN($A$10,$A$2),"",IF($A$5="","Choose stock",IF(NOT($A$12),"Check split rule",IF(NOT(ISNUMBER(B407)),"Invalid date",IF(OR(B407&lt;=0,B407&lt;&gt;INT(B407)),"Invalid date",IF(COUNTIFS(DemoHistory[Date],B407)&lt;&gt;1,"Duplicate date",IF(AND($A407&gt;1,B407&lt;=B406),"Dates out of order",IF(NOT(ISNUMBER(C407)),"Missing price",IF(C407&lt;=0,"Nonpositive price","OK")))))))))</f>
        <v/>
      </c>
      <c r="I407" s="136"/>
      <c r="J407" s="136"/>
      <c r="K407" s="136"/>
      <c r="L407" s="136"/>
      <c r="M407" s="136"/>
      <c r="N407" s="136" t="e">
        <f t="shared" si="16"/>
        <v>#N/A</v>
      </c>
      <c r="O407" s="136" t="e">
        <f t="shared" si="17"/>
        <v>#N/A</v>
      </c>
    </row>
    <row r="408" spans="1:15" ht="22.05" customHeight="1" x14ac:dyDescent="0.3">
      <c r="A408" s="136">
        <v>364</v>
      </c>
      <c r="B408" s="165" t="str">
        <f>IF($A408&gt;MIN($A$10,$A$2),"",INDEX(DemoHistory[Date],$A408))</f>
        <v/>
      </c>
      <c r="C408" s="166" t="str">
        <f>IF(OR($A408&gt;MIN($A$10,$A$2),$A$5=""),"",INDEX(DemoHistory[],$A408,MATCH($A$5,DemoHistory[#Headers],0)))</f>
        <v/>
      </c>
      <c r="D408" s="166" t="str">
        <f>IF($A408&gt;MIN($A$10,$A$2),"",IF(AND($A$12,$A$6=1,B408&lt;$A$7,$A$7&lt;=MAX(DemoHistory[Date])),$A$8,1))</f>
        <v/>
      </c>
      <c r="E408" s="166" t="str">
        <f t="shared" si="15"/>
        <v/>
      </c>
      <c r="F408" s="166" t="str">
        <f>IF($A408&gt;MIN($A$10,$A$2),"",IF($A408&lt;50,"n.a.",IF(COUNT(INDEX(StockDaily[Adjusted close],MAX(1,$A408-50+1)):E408)=50,AVERAGE(INDEX(StockDaily[Adjusted close],MAX(1,$A408-50+1)):E408),"n.a.")))</f>
        <v/>
      </c>
      <c r="G408" s="166" t="str">
        <f>IF($A408&gt;MIN($A$10,$A$2),"",IF($A408&lt;200,"n.a.",IF(COUNT(INDEX(StockDaily[Adjusted close],MAX(1,$A408-200+1)):E408)=200,AVERAGE(INDEX(StockDaily[Adjusted close],MAX(1,$A408-200+1)):E408),"n.a.")))</f>
        <v/>
      </c>
      <c r="H408" s="136" t="str">
        <f>IF($A408&gt;MIN($A$10,$A$2),"",IF($A$5="","Choose stock",IF(NOT($A$12),"Check split rule",IF(NOT(ISNUMBER(B408)),"Invalid date",IF(OR(B408&lt;=0,B408&lt;&gt;INT(B408)),"Invalid date",IF(COUNTIFS(DemoHistory[Date],B408)&lt;&gt;1,"Duplicate date",IF(AND($A408&gt;1,B408&lt;=B407),"Dates out of order",IF(NOT(ISNUMBER(C408)),"Missing price",IF(C408&lt;=0,"Nonpositive price","OK")))))))))</f>
        <v/>
      </c>
      <c r="I408" s="136"/>
      <c r="J408" s="136"/>
      <c r="K408" s="136"/>
      <c r="L408" s="136"/>
      <c r="M408" s="136"/>
      <c r="N408" s="136" t="e">
        <f t="shared" si="16"/>
        <v>#N/A</v>
      </c>
      <c r="O408" s="136" t="e">
        <f t="shared" si="17"/>
        <v>#N/A</v>
      </c>
    </row>
    <row r="409" spans="1:15" ht="22.05" customHeight="1" x14ac:dyDescent="0.3">
      <c r="A409" s="136">
        <v>365</v>
      </c>
      <c r="B409" s="165" t="str">
        <f>IF($A409&gt;MIN($A$10,$A$2),"",INDEX(DemoHistory[Date],$A409))</f>
        <v/>
      </c>
      <c r="C409" s="166" t="str">
        <f>IF(OR($A409&gt;MIN($A$10,$A$2),$A$5=""),"",INDEX(DemoHistory[],$A409,MATCH($A$5,DemoHistory[#Headers],0)))</f>
        <v/>
      </c>
      <c r="D409" s="166" t="str">
        <f>IF($A409&gt;MIN($A$10,$A$2),"",IF(AND($A$12,$A$6=1,B409&lt;$A$7,$A$7&lt;=MAX(DemoHistory[Date])),$A$8,1))</f>
        <v/>
      </c>
      <c r="E409" s="166" t="str">
        <f t="shared" si="15"/>
        <v/>
      </c>
      <c r="F409" s="166" t="str">
        <f>IF($A409&gt;MIN($A$10,$A$2),"",IF($A409&lt;50,"n.a.",IF(COUNT(INDEX(StockDaily[Adjusted close],MAX(1,$A409-50+1)):E409)=50,AVERAGE(INDEX(StockDaily[Adjusted close],MAX(1,$A409-50+1)):E409),"n.a.")))</f>
        <v/>
      </c>
      <c r="G409" s="166" t="str">
        <f>IF($A409&gt;MIN($A$10,$A$2),"",IF($A409&lt;200,"n.a.",IF(COUNT(INDEX(StockDaily[Adjusted close],MAX(1,$A409-200+1)):E409)=200,AVERAGE(INDEX(StockDaily[Adjusted close],MAX(1,$A409-200+1)):E409),"n.a.")))</f>
        <v/>
      </c>
      <c r="H409" s="136" t="str">
        <f>IF($A409&gt;MIN($A$10,$A$2),"",IF($A$5="","Choose stock",IF(NOT($A$12),"Check split rule",IF(NOT(ISNUMBER(B409)),"Invalid date",IF(OR(B409&lt;=0,B409&lt;&gt;INT(B409)),"Invalid date",IF(COUNTIFS(DemoHistory[Date],B409)&lt;&gt;1,"Duplicate date",IF(AND($A409&gt;1,B409&lt;=B408),"Dates out of order",IF(NOT(ISNUMBER(C409)),"Missing price",IF(C409&lt;=0,"Nonpositive price","OK")))))))))</f>
        <v/>
      </c>
      <c r="I409" s="136"/>
      <c r="J409" s="136"/>
      <c r="K409" s="136"/>
      <c r="L409" s="136"/>
      <c r="M409" s="136"/>
      <c r="N409" s="136" t="e">
        <f t="shared" si="16"/>
        <v>#N/A</v>
      </c>
      <c r="O409" s="136" t="e">
        <f t="shared" si="17"/>
        <v>#N/A</v>
      </c>
    </row>
    <row r="410" spans="1:15" ht="22.05" customHeight="1" x14ac:dyDescent="0.3">
      <c r="A410" s="136">
        <v>366</v>
      </c>
      <c r="B410" s="165" t="str">
        <f>IF($A410&gt;MIN($A$10,$A$2),"",INDEX(DemoHistory[Date],$A410))</f>
        <v/>
      </c>
      <c r="C410" s="166" t="str">
        <f>IF(OR($A410&gt;MIN($A$10,$A$2),$A$5=""),"",INDEX(DemoHistory[],$A410,MATCH($A$5,DemoHistory[#Headers],0)))</f>
        <v/>
      </c>
      <c r="D410" s="166" t="str">
        <f>IF($A410&gt;MIN($A$10,$A$2),"",IF(AND($A$12,$A$6=1,B410&lt;$A$7,$A$7&lt;=MAX(DemoHistory[Date])),$A$8,1))</f>
        <v/>
      </c>
      <c r="E410" s="166" t="str">
        <f t="shared" si="15"/>
        <v/>
      </c>
      <c r="F410" s="166" t="str">
        <f>IF($A410&gt;MIN($A$10,$A$2),"",IF($A410&lt;50,"n.a.",IF(COUNT(INDEX(StockDaily[Adjusted close],MAX(1,$A410-50+1)):E410)=50,AVERAGE(INDEX(StockDaily[Adjusted close],MAX(1,$A410-50+1)):E410),"n.a.")))</f>
        <v/>
      </c>
      <c r="G410" s="166" t="str">
        <f>IF($A410&gt;MIN($A$10,$A$2),"",IF($A410&lt;200,"n.a.",IF(COUNT(INDEX(StockDaily[Adjusted close],MAX(1,$A410-200+1)):E410)=200,AVERAGE(INDEX(StockDaily[Adjusted close],MAX(1,$A410-200+1)):E410),"n.a.")))</f>
        <v/>
      </c>
      <c r="H410" s="136" t="str">
        <f>IF($A410&gt;MIN($A$10,$A$2),"",IF($A$5="","Choose stock",IF(NOT($A$12),"Check split rule",IF(NOT(ISNUMBER(B410)),"Invalid date",IF(OR(B410&lt;=0,B410&lt;&gt;INT(B410)),"Invalid date",IF(COUNTIFS(DemoHistory[Date],B410)&lt;&gt;1,"Duplicate date",IF(AND($A410&gt;1,B410&lt;=B409),"Dates out of order",IF(NOT(ISNUMBER(C410)),"Missing price",IF(C410&lt;=0,"Nonpositive price","OK")))))))))</f>
        <v/>
      </c>
      <c r="I410" s="136"/>
      <c r="J410" s="136"/>
      <c r="K410" s="136"/>
      <c r="L410" s="136"/>
      <c r="M410" s="136"/>
      <c r="N410" s="136" t="e">
        <f t="shared" si="16"/>
        <v>#N/A</v>
      </c>
      <c r="O410" s="136" t="e">
        <f t="shared" si="17"/>
        <v>#N/A</v>
      </c>
    </row>
    <row r="411" spans="1:15" ht="22.05" customHeight="1" x14ac:dyDescent="0.3">
      <c r="A411" s="136">
        <v>367</v>
      </c>
      <c r="B411" s="165" t="str">
        <f>IF($A411&gt;MIN($A$10,$A$2),"",INDEX(DemoHistory[Date],$A411))</f>
        <v/>
      </c>
      <c r="C411" s="166" t="str">
        <f>IF(OR($A411&gt;MIN($A$10,$A$2),$A$5=""),"",INDEX(DemoHistory[],$A411,MATCH($A$5,DemoHistory[#Headers],0)))</f>
        <v/>
      </c>
      <c r="D411" s="166" t="str">
        <f>IF($A411&gt;MIN($A$10,$A$2),"",IF(AND($A$12,$A$6=1,B411&lt;$A$7,$A$7&lt;=MAX(DemoHistory[Date])),$A$8,1))</f>
        <v/>
      </c>
      <c r="E411" s="166" t="str">
        <f t="shared" si="15"/>
        <v/>
      </c>
      <c r="F411" s="166" t="str">
        <f>IF($A411&gt;MIN($A$10,$A$2),"",IF($A411&lt;50,"n.a.",IF(COUNT(INDEX(StockDaily[Adjusted close],MAX(1,$A411-50+1)):E411)=50,AVERAGE(INDEX(StockDaily[Adjusted close],MAX(1,$A411-50+1)):E411),"n.a.")))</f>
        <v/>
      </c>
      <c r="G411" s="166" t="str">
        <f>IF($A411&gt;MIN($A$10,$A$2),"",IF($A411&lt;200,"n.a.",IF(COUNT(INDEX(StockDaily[Adjusted close],MAX(1,$A411-200+1)):E411)=200,AVERAGE(INDEX(StockDaily[Adjusted close],MAX(1,$A411-200+1)):E411),"n.a.")))</f>
        <v/>
      </c>
      <c r="H411" s="136" t="str">
        <f>IF($A411&gt;MIN($A$10,$A$2),"",IF($A$5="","Choose stock",IF(NOT($A$12),"Check split rule",IF(NOT(ISNUMBER(B411)),"Invalid date",IF(OR(B411&lt;=0,B411&lt;&gt;INT(B411)),"Invalid date",IF(COUNTIFS(DemoHistory[Date],B411)&lt;&gt;1,"Duplicate date",IF(AND($A411&gt;1,B411&lt;=B410),"Dates out of order",IF(NOT(ISNUMBER(C411)),"Missing price",IF(C411&lt;=0,"Nonpositive price","OK")))))))))</f>
        <v/>
      </c>
      <c r="I411" s="136"/>
      <c r="J411" s="136"/>
      <c r="K411" s="136"/>
      <c r="L411" s="136"/>
      <c r="M411" s="136"/>
      <c r="N411" s="136" t="e">
        <f t="shared" si="16"/>
        <v>#N/A</v>
      </c>
      <c r="O411" s="136" t="e">
        <f t="shared" si="17"/>
        <v>#N/A</v>
      </c>
    </row>
    <row r="412" spans="1:15" ht="22.05" customHeight="1" x14ac:dyDescent="0.3">
      <c r="A412" s="136">
        <v>368</v>
      </c>
      <c r="B412" s="165" t="str">
        <f>IF($A412&gt;MIN($A$10,$A$2),"",INDEX(DemoHistory[Date],$A412))</f>
        <v/>
      </c>
      <c r="C412" s="166" t="str">
        <f>IF(OR($A412&gt;MIN($A$10,$A$2),$A$5=""),"",INDEX(DemoHistory[],$A412,MATCH($A$5,DemoHistory[#Headers],0)))</f>
        <v/>
      </c>
      <c r="D412" s="166" t="str">
        <f>IF($A412&gt;MIN($A$10,$A$2),"",IF(AND($A$12,$A$6=1,B412&lt;$A$7,$A$7&lt;=MAX(DemoHistory[Date])),$A$8,1))</f>
        <v/>
      </c>
      <c r="E412" s="166" t="str">
        <f t="shared" si="15"/>
        <v/>
      </c>
      <c r="F412" s="166" t="str">
        <f>IF($A412&gt;MIN($A$10,$A$2),"",IF($A412&lt;50,"n.a.",IF(COUNT(INDEX(StockDaily[Adjusted close],MAX(1,$A412-50+1)):E412)=50,AVERAGE(INDEX(StockDaily[Adjusted close],MAX(1,$A412-50+1)):E412),"n.a.")))</f>
        <v/>
      </c>
      <c r="G412" s="166" t="str">
        <f>IF($A412&gt;MIN($A$10,$A$2),"",IF($A412&lt;200,"n.a.",IF(COUNT(INDEX(StockDaily[Adjusted close],MAX(1,$A412-200+1)):E412)=200,AVERAGE(INDEX(StockDaily[Adjusted close],MAX(1,$A412-200+1)):E412),"n.a.")))</f>
        <v/>
      </c>
      <c r="H412" s="136" t="str">
        <f>IF($A412&gt;MIN($A$10,$A$2),"",IF($A$5="","Choose stock",IF(NOT($A$12),"Check split rule",IF(NOT(ISNUMBER(B412)),"Invalid date",IF(OR(B412&lt;=0,B412&lt;&gt;INT(B412)),"Invalid date",IF(COUNTIFS(DemoHistory[Date],B412)&lt;&gt;1,"Duplicate date",IF(AND($A412&gt;1,B412&lt;=B411),"Dates out of order",IF(NOT(ISNUMBER(C412)),"Missing price",IF(C412&lt;=0,"Nonpositive price","OK")))))))))</f>
        <v/>
      </c>
      <c r="I412" s="136"/>
      <c r="J412" s="136"/>
      <c r="K412" s="136"/>
      <c r="L412" s="136"/>
      <c r="M412" s="136"/>
      <c r="N412" s="136" t="e">
        <f t="shared" si="16"/>
        <v>#N/A</v>
      </c>
      <c r="O412" s="136" t="e">
        <f t="shared" si="17"/>
        <v>#N/A</v>
      </c>
    </row>
    <row r="413" spans="1:15" ht="22.05" customHeight="1" x14ac:dyDescent="0.3">
      <c r="A413" s="136">
        <v>369</v>
      </c>
      <c r="B413" s="165" t="str">
        <f>IF($A413&gt;MIN($A$10,$A$2),"",INDEX(DemoHistory[Date],$A413))</f>
        <v/>
      </c>
      <c r="C413" s="166" t="str">
        <f>IF(OR($A413&gt;MIN($A$10,$A$2),$A$5=""),"",INDEX(DemoHistory[],$A413,MATCH($A$5,DemoHistory[#Headers],0)))</f>
        <v/>
      </c>
      <c r="D413" s="166" t="str">
        <f>IF($A413&gt;MIN($A$10,$A$2),"",IF(AND($A$12,$A$6=1,B413&lt;$A$7,$A$7&lt;=MAX(DemoHistory[Date])),$A$8,1))</f>
        <v/>
      </c>
      <c r="E413" s="166" t="str">
        <f t="shared" si="15"/>
        <v/>
      </c>
      <c r="F413" s="166" t="str">
        <f>IF($A413&gt;MIN($A$10,$A$2),"",IF($A413&lt;50,"n.a.",IF(COUNT(INDEX(StockDaily[Adjusted close],MAX(1,$A413-50+1)):E413)=50,AVERAGE(INDEX(StockDaily[Adjusted close],MAX(1,$A413-50+1)):E413),"n.a.")))</f>
        <v/>
      </c>
      <c r="G413" s="166" t="str">
        <f>IF($A413&gt;MIN($A$10,$A$2),"",IF($A413&lt;200,"n.a.",IF(COUNT(INDEX(StockDaily[Adjusted close],MAX(1,$A413-200+1)):E413)=200,AVERAGE(INDEX(StockDaily[Adjusted close],MAX(1,$A413-200+1)):E413),"n.a.")))</f>
        <v/>
      </c>
      <c r="H413" s="136" t="str">
        <f>IF($A413&gt;MIN($A$10,$A$2),"",IF($A$5="","Choose stock",IF(NOT($A$12),"Check split rule",IF(NOT(ISNUMBER(B413)),"Invalid date",IF(OR(B413&lt;=0,B413&lt;&gt;INT(B413)),"Invalid date",IF(COUNTIFS(DemoHistory[Date],B413)&lt;&gt;1,"Duplicate date",IF(AND($A413&gt;1,B413&lt;=B412),"Dates out of order",IF(NOT(ISNUMBER(C413)),"Missing price",IF(C413&lt;=0,"Nonpositive price","OK")))))))))</f>
        <v/>
      </c>
      <c r="I413" s="136"/>
      <c r="J413" s="136"/>
      <c r="K413" s="136"/>
      <c r="L413" s="136"/>
      <c r="M413" s="136"/>
      <c r="N413" s="136" t="e">
        <f t="shared" si="16"/>
        <v>#N/A</v>
      </c>
      <c r="O413" s="136" t="e">
        <f t="shared" si="17"/>
        <v>#N/A</v>
      </c>
    </row>
    <row r="414" spans="1:15" ht="22.05" customHeight="1" x14ac:dyDescent="0.3">
      <c r="A414" s="136">
        <v>370</v>
      </c>
      <c r="B414" s="165" t="str">
        <f>IF($A414&gt;MIN($A$10,$A$2),"",INDEX(DemoHistory[Date],$A414))</f>
        <v/>
      </c>
      <c r="C414" s="166" t="str">
        <f>IF(OR($A414&gt;MIN($A$10,$A$2),$A$5=""),"",INDEX(DemoHistory[],$A414,MATCH($A$5,DemoHistory[#Headers],0)))</f>
        <v/>
      </c>
      <c r="D414" s="166" t="str">
        <f>IF($A414&gt;MIN($A$10,$A$2),"",IF(AND($A$12,$A$6=1,B414&lt;$A$7,$A$7&lt;=MAX(DemoHistory[Date])),$A$8,1))</f>
        <v/>
      </c>
      <c r="E414" s="166" t="str">
        <f t="shared" si="15"/>
        <v/>
      </c>
      <c r="F414" s="166" t="str">
        <f>IF($A414&gt;MIN($A$10,$A$2),"",IF($A414&lt;50,"n.a.",IF(COUNT(INDEX(StockDaily[Adjusted close],MAX(1,$A414-50+1)):E414)=50,AVERAGE(INDEX(StockDaily[Adjusted close],MAX(1,$A414-50+1)):E414),"n.a.")))</f>
        <v/>
      </c>
      <c r="G414" s="166" t="str">
        <f>IF($A414&gt;MIN($A$10,$A$2),"",IF($A414&lt;200,"n.a.",IF(COUNT(INDEX(StockDaily[Adjusted close],MAX(1,$A414-200+1)):E414)=200,AVERAGE(INDEX(StockDaily[Adjusted close],MAX(1,$A414-200+1)):E414),"n.a.")))</f>
        <v/>
      </c>
      <c r="H414" s="136" t="str">
        <f>IF($A414&gt;MIN($A$10,$A$2),"",IF($A$5="","Choose stock",IF(NOT($A$12),"Check split rule",IF(NOT(ISNUMBER(B414)),"Invalid date",IF(OR(B414&lt;=0,B414&lt;&gt;INT(B414)),"Invalid date",IF(COUNTIFS(DemoHistory[Date],B414)&lt;&gt;1,"Duplicate date",IF(AND($A414&gt;1,B414&lt;=B413),"Dates out of order",IF(NOT(ISNUMBER(C414)),"Missing price",IF(C414&lt;=0,"Nonpositive price","OK")))))))))</f>
        <v/>
      </c>
      <c r="I414" s="136"/>
      <c r="J414" s="136"/>
      <c r="K414" s="136"/>
      <c r="L414" s="136"/>
      <c r="M414" s="136"/>
      <c r="N414" s="136" t="e">
        <f t="shared" si="16"/>
        <v>#N/A</v>
      </c>
      <c r="O414" s="136" t="e">
        <f t="shared" si="17"/>
        <v>#N/A</v>
      </c>
    </row>
    <row r="415" spans="1:15" ht="22.05" customHeight="1" x14ac:dyDescent="0.3">
      <c r="A415" s="136">
        <v>371</v>
      </c>
      <c r="B415" s="165" t="str">
        <f>IF($A415&gt;MIN($A$10,$A$2),"",INDEX(DemoHistory[Date],$A415))</f>
        <v/>
      </c>
      <c r="C415" s="166" t="str">
        <f>IF(OR($A415&gt;MIN($A$10,$A$2),$A$5=""),"",INDEX(DemoHistory[],$A415,MATCH($A$5,DemoHistory[#Headers],0)))</f>
        <v/>
      </c>
      <c r="D415" s="166" t="str">
        <f>IF($A415&gt;MIN($A$10,$A$2),"",IF(AND($A$12,$A$6=1,B415&lt;$A$7,$A$7&lt;=MAX(DemoHistory[Date])),$A$8,1))</f>
        <v/>
      </c>
      <c r="E415" s="166" t="str">
        <f t="shared" si="15"/>
        <v/>
      </c>
      <c r="F415" s="166" t="str">
        <f>IF($A415&gt;MIN($A$10,$A$2),"",IF($A415&lt;50,"n.a.",IF(COUNT(INDEX(StockDaily[Adjusted close],MAX(1,$A415-50+1)):E415)=50,AVERAGE(INDEX(StockDaily[Adjusted close],MAX(1,$A415-50+1)):E415),"n.a.")))</f>
        <v/>
      </c>
      <c r="G415" s="166" t="str">
        <f>IF($A415&gt;MIN($A$10,$A$2),"",IF($A415&lt;200,"n.a.",IF(COUNT(INDEX(StockDaily[Adjusted close],MAX(1,$A415-200+1)):E415)=200,AVERAGE(INDEX(StockDaily[Adjusted close],MAX(1,$A415-200+1)):E415),"n.a.")))</f>
        <v/>
      </c>
      <c r="H415" s="136" t="str">
        <f>IF($A415&gt;MIN($A$10,$A$2),"",IF($A$5="","Choose stock",IF(NOT($A$12),"Check split rule",IF(NOT(ISNUMBER(B415)),"Invalid date",IF(OR(B415&lt;=0,B415&lt;&gt;INT(B415)),"Invalid date",IF(COUNTIFS(DemoHistory[Date],B415)&lt;&gt;1,"Duplicate date",IF(AND($A415&gt;1,B415&lt;=B414),"Dates out of order",IF(NOT(ISNUMBER(C415)),"Missing price",IF(C415&lt;=0,"Nonpositive price","OK")))))))))</f>
        <v/>
      </c>
      <c r="I415" s="136"/>
      <c r="J415" s="136"/>
      <c r="K415" s="136"/>
      <c r="L415" s="136"/>
      <c r="M415" s="136"/>
      <c r="N415" s="136" t="e">
        <f t="shared" si="16"/>
        <v>#N/A</v>
      </c>
      <c r="O415" s="136" t="e">
        <f t="shared" si="17"/>
        <v>#N/A</v>
      </c>
    </row>
    <row r="416" spans="1:15" ht="22.05" customHeight="1" x14ac:dyDescent="0.3">
      <c r="A416" s="136">
        <v>372</v>
      </c>
      <c r="B416" s="165" t="str">
        <f>IF($A416&gt;MIN($A$10,$A$2),"",INDEX(DemoHistory[Date],$A416))</f>
        <v/>
      </c>
      <c r="C416" s="166" t="str">
        <f>IF(OR($A416&gt;MIN($A$10,$A$2),$A$5=""),"",INDEX(DemoHistory[],$A416,MATCH($A$5,DemoHistory[#Headers],0)))</f>
        <v/>
      </c>
      <c r="D416" s="166" t="str">
        <f>IF($A416&gt;MIN($A$10,$A$2),"",IF(AND($A$12,$A$6=1,B416&lt;$A$7,$A$7&lt;=MAX(DemoHistory[Date])),$A$8,1))</f>
        <v/>
      </c>
      <c r="E416" s="166" t="str">
        <f t="shared" si="15"/>
        <v/>
      </c>
      <c r="F416" s="166" t="str">
        <f>IF($A416&gt;MIN($A$10,$A$2),"",IF($A416&lt;50,"n.a.",IF(COUNT(INDEX(StockDaily[Adjusted close],MAX(1,$A416-50+1)):E416)=50,AVERAGE(INDEX(StockDaily[Adjusted close],MAX(1,$A416-50+1)):E416),"n.a.")))</f>
        <v/>
      </c>
      <c r="G416" s="166" t="str">
        <f>IF($A416&gt;MIN($A$10,$A$2),"",IF($A416&lt;200,"n.a.",IF(COUNT(INDEX(StockDaily[Adjusted close],MAX(1,$A416-200+1)):E416)=200,AVERAGE(INDEX(StockDaily[Adjusted close],MAX(1,$A416-200+1)):E416),"n.a.")))</f>
        <v/>
      </c>
      <c r="H416" s="136" t="str">
        <f>IF($A416&gt;MIN($A$10,$A$2),"",IF($A$5="","Choose stock",IF(NOT($A$12),"Check split rule",IF(NOT(ISNUMBER(B416)),"Invalid date",IF(OR(B416&lt;=0,B416&lt;&gt;INT(B416)),"Invalid date",IF(COUNTIFS(DemoHistory[Date],B416)&lt;&gt;1,"Duplicate date",IF(AND($A416&gt;1,B416&lt;=B415),"Dates out of order",IF(NOT(ISNUMBER(C416)),"Missing price",IF(C416&lt;=0,"Nonpositive price","OK")))))))))</f>
        <v/>
      </c>
      <c r="I416" s="136"/>
      <c r="J416" s="136"/>
      <c r="K416" s="136"/>
      <c r="L416" s="136"/>
      <c r="M416" s="136"/>
      <c r="N416" s="136" t="e">
        <f t="shared" si="16"/>
        <v>#N/A</v>
      </c>
      <c r="O416" s="136" t="e">
        <f t="shared" si="17"/>
        <v>#N/A</v>
      </c>
    </row>
    <row r="417" spans="1:15" ht="22.05" customHeight="1" x14ac:dyDescent="0.3">
      <c r="A417" s="136">
        <v>373</v>
      </c>
      <c r="B417" s="165" t="str">
        <f>IF($A417&gt;MIN($A$10,$A$2),"",INDEX(DemoHistory[Date],$A417))</f>
        <v/>
      </c>
      <c r="C417" s="166" t="str">
        <f>IF(OR($A417&gt;MIN($A$10,$A$2),$A$5=""),"",INDEX(DemoHistory[],$A417,MATCH($A$5,DemoHistory[#Headers],0)))</f>
        <v/>
      </c>
      <c r="D417" s="166" t="str">
        <f>IF($A417&gt;MIN($A$10,$A$2),"",IF(AND($A$12,$A$6=1,B417&lt;$A$7,$A$7&lt;=MAX(DemoHistory[Date])),$A$8,1))</f>
        <v/>
      </c>
      <c r="E417" s="166" t="str">
        <f t="shared" si="15"/>
        <v/>
      </c>
      <c r="F417" s="166" t="str">
        <f>IF($A417&gt;MIN($A$10,$A$2),"",IF($A417&lt;50,"n.a.",IF(COUNT(INDEX(StockDaily[Adjusted close],MAX(1,$A417-50+1)):E417)=50,AVERAGE(INDEX(StockDaily[Adjusted close],MAX(1,$A417-50+1)):E417),"n.a.")))</f>
        <v/>
      </c>
      <c r="G417" s="166" t="str">
        <f>IF($A417&gt;MIN($A$10,$A$2),"",IF($A417&lt;200,"n.a.",IF(COUNT(INDEX(StockDaily[Adjusted close],MAX(1,$A417-200+1)):E417)=200,AVERAGE(INDEX(StockDaily[Adjusted close],MAX(1,$A417-200+1)):E417),"n.a.")))</f>
        <v/>
      </c>
      <c r="H417" s="136" t="str">
        <f>IF($A417&gt;MIN($A$10,$A$2),"",IF($A$5="","Choose stock",IF(NOT($A$12),"Check split rule",IF(NOT(ISNUMBER(B417)),"Invalid date",IF(OR(B417&lt;=0,B417&lt;&gt;INT(B417)),"Invalid date",IF(COUNTIFS(DemoHistory[Date],B417)&lt;&gt;1,"Duplicate date",IF(AND($A417&gt;1,B417&lt;=B416),"Dates out of order",IF(NOT(ISNUMBER(C417)),"Missing price",IF(C417&lt;=0,"Nonpositive price","OK")))))))))</f>
        <v/>
      </c>
      <c r="I417" s="136"/>
      <c r="J417" s="136"/>
      <c r="K417" s="136"/>
      <c r="L417" s="136"/>
      <c r="M417" s="136"/>
      <c r="N417" s="136" t="e">
        <f t="shared" si="16"/>
        <v>#N/A</v>
      </c>
      <c r="O417" s="136" t="e">
        <f t="shared" si="17"/>
        <v>#N/A</v>
      </c>
    </row>
    <row r="418" spans="1:15" ht="22.05" customHeight="1" x14ac:dyDescent="0.3">
      <c r="A418" s="136">
        <v>374</v>
      </c>
      <c r="B418" s="165" t="str">
        <f>IF($A418&gt;MIN($A$10,$A$2),"",INDEX(DemoHistory[Date],$A418))</f>
        <v/>
      </c>
      <c r="C418" s="166" t="str">
        <f>IF(OR($A418&gt;MIN($A$10,$A$2),$A$5=""),"",INDEX(DemoHistory[],$A418,MATCH($A$5,DemoHistory[#Headers],0)))</f>
        <v/>
      </c>
      <c r="D418" s="166" t="str">
        <f>IF($A418&gt;MIN($A$10,$A$2),"",IF(AND($A$12,$A$6=1,B418&lt;$A$7,$A$7&lt;=MAX(DemoHistory[Date])),$A$8,1))</f>
        <v/>
      </c>
      <c r="E418" s="166" t="str">
        <f t="shared" si="15"/>
        <v/>
      </c>
      <c r="F418" s="166" t="str">
        <f>IF($A418&gt;MIN($A$10,$A$2),"",IF($A418&lt;50,"n.a.",IF(COUNT(INDEX(StockDaily[Adjusted close],MAX(1,$A418-50+1)):E418)=50,AVERAGE(INDEX(StockDaily[Adjusted close],MAX(1,$A418-50+1)):E418),"n.a.")))</f>
        <v/>
      </c>
      <c r="G418" s="166" t="str">
        <f>IF($A418&gt;MIN($A$10,$A$2),"",IF($A418&lt;200,"n.a.",IF(COUNT(INDEX(StockDaily[Adjusted close],MAX(1,$A418-200+1)):E418)=200,AVERAGE(INDEX(StockDaily[Adjusted close],MAX(1,$A418-200+1)):E418),"n.a.")))</f>
        <v/>
      </c>
      <c r="H418" s="136" t="str">
        <f>IF($A418&gt;MIN($A$10,$A$2),"",IF($A$5="","Choose stock",IF(NOT($A$12),"Check split rule",IF(NOT(ISNUMBER(B418)),"Invalid date",IF(OR(B418&lt;=0,B418&lt;&gt;INT(B418)),"Invalid date",IF(COUNTIFS(DemoHistory[Date],B418)&lt;&gt;1,"Duplicate date",IF(AND($A418&gt;1,B418&lt;=B417),"Dates out of order",IF(NOT(ISNUMBER(C418)),"Missing price",IF(C418&lt;=0,"Nonpositive price","OK")))))))))</f>
        <v/>
      </c>
      <c r="I418" s="136"/>
      <c r="J418" s="136"/>
      <c r="K418" s="136"/>
      <c r="L418" s="136"/>
      <c r="M418" s="136"/>
      <c r="N418" s="136" t="e">
        <f t="shared" si="16"/>
        <v>#N/A</v>
      </c>
      <c r="O418" s="136" t="e">
        <f t="shared" si="17"/>
        <v>#N/A</v>
      </c>
    </row>
    <row r="419" spans="1:15" ht="22.05" customHeight="1" x14ac:dyDescent="0.3">
      <c r="A419" s="136">
        <v>375</v>
      </c>
      <c r="B419" s="165" t="str">
        <f>IF($A419&gt;MIN($A$10,$A$2),"",INDEX(DemoHistory[Date],$A419))</f>
        <v/>
      </c>
      <c r="C419" s="166" t="str">
        <f>IF(OR($A419&gt;MIN($A$10,$A$2),$A$5=""),"",INDEX(DemoHistory[],$A419,MATCH($A$5,DemoHistory[#Headers],0)))</f>
        <v/>
      </c>
      <c r="D419" s="166" t="str">
        <f>IF($A419&gt;MIN($A$10,$A$2),"",IF(AND($A$12,$A$6=1,B419&lt;$A$7,$A$7&lt;=MAX(DemoHistory[Date])),$A$8,1))</f>
        <v/>
      </c>
      <c r="E419" s="166" t="str">
        <f t="shared" si="15"/>
        <v/>
      </c>
      <c r="F419" s="166" t="str">
        <f>IF($A419&gt;MIN($A$10,$A$2),"",IF($A419&lt;50,"n.a.",IF(COUNT(INDEX(StockDaily[Adjusted close],MAX(1,$A419-50+1)):E419)=50,AVERAGE(INDEX(StockDaily[Adjusted close],MAX(1,$A419-50+1)):E419),"n.a.")))</f>
        <v/>
      </c>
      <c r="G419" s="166" t="str">
        <f>IF($A419&gt;MIN($A$10,$A$2),"",IF($A419&lt;200,"n.a.",IF(COUNT(INDEX(StockDaily[Adjusted close],MAX(1,$A419-200+1)):E419)=200,AVERAGE(INDEX(StockDaily[Adjusted close],MAX(1,$A419-200+1)):E419),"n.a.")))</f>
        <v/>
      </c>
      <c r="H419" s="136" t="str">
        <f>IF($A419&gt;MIN($A$10,$A$2),"",IF($A$5="","Choose stock",IF(NOT($A$12),"Check split rule",IF(NOT(ISNUMBER(B419)),"Invalid date",IF(OR(B419&lt;=0,B419&lt;&gt;INT(B419)),"Invalid date",IF(COUNTIFS(DemoHistory[Date],B419)&lt;&gt;1,"Duplicate date",IF(AND($A419&gt;1,B419&lt;=B418),"Dates out of order",IF(NOT(ISNUMBER(C419)),"Missing price",IF(C419&lt;=0,"Nonpositive price","OK")))))))))</f>
        <v/>
      </c>
      <c r="I419" s="136"/>
      <c r="J419" s="136"/>
      <c r="K419" s="136"/>
      <c r="L419" s="136"/>
      <c r="M419" s="136"/>
      <c r="N419" s="136" t="e">
        <f t="shared" si="16"/>
        <v>#N/A</v>
      </c>
      <c r="O419" s="136" t="e">
        <f t="shared" si="17"/>
        <v>#N/A</v>
      </c>
    </row>
    <row r="420" spans="1:15" ht="22.05" customHeight="1" x14ac:dyDescent="0.3">
      <c r="A420" s="136">
        <v>376</v>
      </c>
      <c r="B420" s="165" t="str">
        <f>IF($A420&gt;MIN($A$10,$A$2),"",INDEX(DemoHistory[Date],$A420))</f>
        <v/>
      </c>
      <c r="C420" s="166" t="str">
        <f>IF(OR($A420&gt;MIN($A$10,$A$2),$A$5=""),"",INDEX(DemoHistory[],$A420,MATCH($A$5,DemoHistory[#Headers],0)))</f>
        <v/>
      </c>
      <c r="D420" s="166" t="str">
        <f>IF($A420&gt;MIN($A$10,$A$2),"",IF(AND($A$12,$A$6=1,B420&lt;$A$7,$A$7&lt;=MAX(DemoHistory[Date])),$A$8,1))</f>
        <v/>
      </c>
      <c r="E420" s="166" t="str">
        <f t="shared" si="15"/>
        <v/>
      </c>
      <c r="F420" s="166" t="str">
        <f>IF($A420&gt;MIN($A$10,$A$2),"",IF($A420&lt;50,"n.a.",IF(COUNT(INDEX(StockDaily[Adjusted close],MAX(1,$A420-50+1)):E420)=50,AVERAGE(INDEX(StockDaily[Adjusted close],MAX(1,$A420-50+1)):E420),"n.a.")))</f>
        <v/>
      </c>
      <c r="G420" s="166" t="str">
        <f>IF($A420&gt;MIN($A$10,$A$2),"",IF($A420&lt;200,"n.a.",IF(COUNT(INDEX(StockDaily[Adjusted close],MAX(1,$A420-200+1)):E420)=200,AVERAGE(INDEX(StockDaily[Adjusted close],MAX(1,$A420-200+1)):E420),"n.a.")))</f>
        <v/>
      </c>
      <c r="H420" s="136" t="str">
        <f>IF($A420&gt;MIN($A$10,$A$2),"",IF($A$5="","Choose stock",IF(NOT($A$12),"Check split rule",IF(NOT(ISNUMBER(B420)),"Invalid date",IF(OR(B420&lt;=0,B420&lt;&gt;INT(B420)),"Invalid date",IF(COUNTIFS(DemoHistory[Date],B420)&lt;&gt;1,"Duplicate date",IF(AND($A420&gt;1,B420&lt;=B419),"Dates out of order",IF(NOT(ISNUMBER(C420)),"Missing price",IF(C420&lt;=0,"Nonpositive price","OK")))))))))</f>
        <v/>
      </c>
      <c r="I420" s="136"/>
      <c r="J420" s="136"/>
      <c r="K420" s="136"/>
      <c r="L420" s="136"/>
      <c r="M420" s="136"/>
      <c r="N420" s="136" t="e">
        <f t="shared" si="16"/>
        <v>#N/A</v>
      </c>
      <c r="O420" s="136" t="e">
        <f t="shared" si="17"/>
        <v>#N/A</v>
      </c>
    </row>
    <row r="421" spans="1:15" ht="22.05" customHeight="1" x14ac:dyDescent="0.3">
      <c r="A421" s="136">
        <v>377</v>
      </c>
      <c r="B421" s="165" t="str">
        <f>IF($A421&gt;MIN($A$10,$A$2),"",INDEX(DemoHistory[Date],$A421))</f>
        <v/>
      </c>
      <c r="C421" s="166" t="str">
        <f>IF(OR($A421&gt;MIN($A$10,$A$2),$A$5=""),"",INDEX(DemoHistory[],$A421,MATCH($A$5,DemoHistory[#Headers],0)))</f>
        <v/>
      </c>
      <c r="D421" s="166" t="str">
        <f>IF($A421&gt;MIN($A$10,$A$2),"",IF(AND($A$12,$A$6=1,B421&lt;$A$7,$A$7&lt;=MAX(DemoHistory[Date])),$A$8,1))</f>
        <v/>
      </c>
      <c r="E421" s="166" t="str">
        <f t="shared" si="15"/>
        <v/>
      </c>
      <c r="F421" s="166" t="str">
        <f>IF($A421&gt;MIN($A$10,$A$2),"",IF($A421&lt;50,"n.a.",IF(COUNT(INDEX(StockDaily[Adjusted close],MAX(1,$A421-50+1)):E421)=50,AVERAGE(INDEX(StockDaily[Adjusted close],MAX(1,$A421-50+1)):E421),"n.a.")))</f>
        <v/>
      </c>
      <c r="G421" s="166" t="str">
        <f>IF($A421&gt;MIN($A$10,$A$2),"",IF($A421&lt;200,"n.a.",IF(COUNT(INDEX(StockDaily[Adjusted close],MAX(1,$A421-200+1)):E421)=200,AVERAGE(INDEX(StockDaily[Adjusted close],MAX(1,$A421-200+1)):E421),"n.a.")))</f>
        <v/>
      </c>
      <c r="H421" s="136" t="str">
        <f>IF($A421&gt;MIN($A$10,$A$2),"",IF($A$5="","Choose stock",IF(NOT($A$12),"Check split rule",IF(NOT(ISNUMBER(B421)),"Invalid date",IF(OR(B421&lt;=0,B421&lt;&gt;INT(B421)),"Invalid date",IF(COUNTIFS(DemoHistory[Date],B421)&lt;&gt;1,"Duplicate date",IF(AND($A421&gt;1,B421&lt;=B420),"Dates out of order",IF(NOT(ISNUMBER(C421)),"Missing price",IF(C421&lt;=0,"Nonpositive price","OK")))))))))</f>
        <v/>
      </c>
      <c r="I421" s="136"/>
      <c r="J421" s="136"/>
      <c r="K421" s="136"/>
      <c r="L421" s="136"/>
      <c r="M421" s="136"/>
      <c r="N421" s="136" t="e">
        <f t="shared" si="16"/>
        <v>#N/A</v>
      </c>
      <c r="O421" s="136" t="e">
        <f t="shared" si="17"/>
        <v>#N/A</v>
      </c>
    </row>
    <row r="422" spans="1:15" ht="22.05" customHeight="1" x14ac:dyDescent="0.3">
      <c r="A422" s="136">
        <v>378</v>
      </c>
      <c r="B422" s="165" t="str">
        <f>IF($A422&gt;MIN($A$10,$A$2),"",INDEX(DemoHistory[Date],$A422))</f>
        <v/>
      </c>
      <c r="C422" s="166" t="str">
        <f>IF(OR($A422&gt;MIN($A$10,$A$2),$A$5=""),"",INDEX(DemoHistory[],$A422,MATCH($A$5,DemoHistory[#Headers],0)))</f>
        <v/>
      </c>
      <c r="D422" s="166" t="str">
        <f>IF($A422&gt;MIN($A$10,$A$2),"",IF(AND($A$12,$A$6=1,B422&lt;$A$7,$A$7&lt;=MAX(DemoHistory[Date])),$A$8,1))</f>
        <v/>
      </c>
      <c r="E422" s="166" t="str">
        <f t="shared" si="15"/>
        <v/>
      </c>
      <c r="F422" s="166" t="str">
        <f>IF($A422&gt;MIN($A$10,$A$2),"",IF($A422&lt;50,"n.a.",IF(COUNT(INDEX(StockDaily[Adjusted close],MAX(1,$A422-50+1)):E422)=50,AVERAGE(INDEX(StockDaily[Adjusted close],MAX(1,$A422-50+1)):E422),"n.a.")))</f>
        <v/>
      </c>
      <c r="G422" s="166" t="str">
        <f>IF($A422&gt;MIN($A$10,$A$2),"",IF($A422&lt;200,"n.a.",IF(COUNT(INDEX(StockDaily[Adjusted close],MAX(1,$A422-200+1)):E422)=200,AVERAGE(INDEX(StockDaily[Adjusted close],MAX(1,$A422-200+1)):E422),"n.a.")))</f>
        <v/>
      </c>
      <c r="H422" s="136" t="str">
        <f>IF($A422&gt;MIN($A$10,$A$2),"",IF($A$5="","Choose stock",IF(NOT($A$12),"Check split rule",IF(NOT(ISNUMBER(B422)),"Invalid date",IF(OR(B422&lt;=0,B422&lt;&gt;INT(B422)),"Invalid date",IF(COUNTIFS(DemoHistory[Date],B422)&lt;&gt;1,"Duplicate date",IF(AND($A422&gt;1,B422&lt;=B421),"Dates out of order",IF(NOT(ISNUMBER(C422)),"Missing price",IF(C422&lt;=0,"Nonpositive price","OK")))))))))</f>
        <v/>
      </c>
      <c r="I422" s="136"/>
      <c r="J422" s="136"/>
      <c r="K422" s="136"/>
      <c r="L422" s="136"/>
      <c r="M422" s="136"/>
      <c r="N422" s="136" t="e">
        <f t="shared" si="16"/>
        <v>#N/A</v>
      </c>
      <c r="O422" s="136" t="e">
        <f t="shared" si="17"/>
        <v>#N/A</v>
      </c>
    </row>
    <row r="423" spans="1:15" ht="22.05" customHeight="1" x14ac:dyDescent="0.3">
      <c r="A423" s="136">
        <v>379</v>
      </c>
      <c r="B423" s="165" t="str">
        <f>IF($A423&gt;MIN($A$10,$A$2),"",INDEX(DemoHistory[Date],$A423))</f>
        <v/>
      </c>
      <c r="C423" s="166" t="str">
        <f>IF(OR($A423&gt;MIN($A$10,$A$2),$A$5=""),"",INDEX(DemoHistory[],$A423,MATCH($A$5,DemoHistory[#Headers],0)))</f>
        <v/>
      </c>
      <c r="D423" s="166" t="str">
        <f>IF($A423&gt;MIN($A$10,$A$2),"",IF(AND($A$12,$A$6=1,B423&lt;$A$7,$A$7&lt;=MAX(DemoHistory[Date])),$A$8,1))</f>
        <v/>
      </c>
      <c r="E423" s="166" t="str">
        <f t="shared" si="15"/>
        <v/>
      </c>
      <c r="F423" s="166" t="str">
        <f>IF($A423&gt;MIN($A$10,$A$2),"",IF($A423&lt;50,"n.a.",IF(COUNT(INDEX(StockDaily[Adjusted close],MAX(1,$A423-50+1)):E423)=50,AVERAGE(INDEX(StockDaily[Adjusted close],MAX(1,$A423-50+1)):E423),"n.a.")))</f>
        <v/>
      </c>
      <c r="G423" s="166" t="str">
        <f>IF($A423&gt;MIN($A$10,$A$2),"",IF($A423&lt;200,"n.a.",IF(COUNT(INDEX(StockDaily[Adjusted close],MAX(1,$A423-200+1)):E423)=200,AVERAGE(INDEX(StockDaily[Adjusted close],MAX(1,$A423-200+1)):E423),"n.a.")))</f>
        <v/>
      </c>
      <c r="H423" s="136" t="str">
        <f>IF($A423&gt;MIN($A$10,$A$2),"",IF($A$5="","Choose stock",IF(NOT($A$12),"Check split rule",IF(NOT(ISNUMBER(B423)),"Invalid date",IF(OR(B423&lt;=0,B423&lt;&gt;INT(B423)),"Invalid date",IF(COUNTIFS(DemoHistory[Date],B423)&lt;&gt;1,"Duplicate date",IF(AND($A423&gt;1,B423&lt;=B422),"Dates out of order",IF(NOT(ISNUMBER(C423)),"Missing price",IF(C423&lt;=0,"Nonpositive price","OK")))))))))</f>
        <v/>
      </c>
      <c r="I423" s="136"/>
      <c r="J423" s="136"/>
      <c r="K423" s="136"/>
      <c r="L423" s="136"/>
      <c r="M423" s="136"/>
      <c r="N423" s="136" t="e">
        <f t="shared" si="16"/>
        <v>#N/A</v>
      </c>
      <c r="O423" s="136" t="e">
        <f t="shared" si="17"/>
        <v>#N/A</v>
      </c>
    </row>
    <row r="424" spans="1:15" ht="22.05" customHeight="1" x14ac:dyDescent="0.3">
      <c r="A424" s="136">
        <v>380</v>
      </c>
      <c r="B424" s="165" t="str">
        <f>IF($A424&gt;MIN($A$10,$A$2),"",INDEX(DemoHistory[Date],$A424))</f>
        <v/>
      </c>
      <c r="C424" s="166" t="str">
        <f>IF(OR($A424&gt;MIN($A$10,$A$2),$A$5=""),"",INDEX(DemoHistory[],$A424,MATCH($A$5,DemoHistory[#Headers],0)))</f>
        <v/>
      </c>
      <c r="D424" s="166" t="str">
        <f>IF($A424&gt;MIN($A$10,$A$2),"",IF(AND($A$12,$A$6=1,B424&lt;$A$7,$A$7&lt;=MAX(DemoHistory[Date])),$A$8,1))</f>
        <v/>
      </c>
      <c r="E424" s="166" t="str">
        <f t="shared" si="15"/>
        <v/>
      </c>
      <c r="F424" s="166" t="str">
        <f>IF($A424&gt;MIN($A$10,$A$2),"",IF($A424&lt;50,"n.a.",IF(COUNT(INDEX(StockDaily[Adjusted close],MAX(1,$A424-50+1)):E424)=50,AVERAGE(INDEX(StockDaily[Adjusted close],MAX(1,$A424-50+1)):E424),"n.a.")))</f>
        <v/>
      </c>
      <c r="G424" s="166" t="str">
        <f>IF($A424&gt;MIN($A$10,$A$2),"",IF($A424&lt;200,"n.a.",IF(COUNT(INDEX(StockDaily[Adjusted close],MAX(1,$A424-200+1)):E424)=200,AVERAGE(INDEX(StockDaily[Adjusted close],MAX(1,$A424-200+1)):E424),"n.a.")))</f>
        <v/>
      </c>
      <c r="H424" s="136" t="str">
        <f>IF($A424&gt;MIN($A$10,$A$2),"",IF($A$5="","Choose stock",IF(NOT($A$12),"Check split rule",IF(NOT(ISNUMBER(B424)),"Invalid date",IF(OR(B424&lt;=0,B424&lt;&gt;INT(B424)),"Invalid date",IF(COUNTIFS(DemoHistory[Date],B424)&lt;&gt;1,"Duplicate date",IF(AND($A424&gt;1,B424&lt;=B423),"Dates out of order",IF(NOT(ISNUMBER(C424)),"Missing price",IF(C424&lt;=0,"Nonpositive price","OK")))))))))</f>
        <v/>
      </c>
      <c r="I424" s="136"/>
      <c r="J424" s="136"/>
      <c r="K424" s="136"/>
      <c r="L424" s="136"/>
      <c r="M424" s="136"/>
      <c r="N424" s="136" t="e">
        <f t="shared" si="16"/>
        <v>#N/A</v>
      </c>
      <c r="O424" s="136" t="e">
        <f t="shared" si="17"/>
        <v>#N/A</v>
      </c>
    </row>
    <row r="425" spans="1:15" ht="22.05" customHeight="1" x14ac:dyDescent="0.3">
      <c r="A425" s="136">
        <v>381</v>
      </c>
      <c r="B425" s="165" t="str">
        <f>IF($A425&gt;MIN($A$10,$A$2),"",INDEX(DemoHistory[Date],$A425))</f>
        <v/>
      </c>
      <c r="C425" s="166" t="str">
        <f>IF(OR($A425&gt;MIN($A$10,$A$2),$A$5=""),"",INDEX(DemoHistory[],$A425,MATCH($A$5,DemoHistory[#Headers],0)))</f>
        <v/>
      </c>
      <c r="D425" s="166" t="str">
        <f>IF($A425&gt;MIN($A$10,$A$2),"",IF(AND($A$12,$A$6=1,B425&lt;$A$7,$A$7&lt;=MAX(DemoHistory[Date])),$A$8,1))</f>
        <v/>
      </c>
      <c r="E425" s="166" t="str">
        <f t="shared" si="15"/>
        <v/>
      </c>
      <c r="F425" s="166" t="str">
        <f>IF($A425&gt;MIN($A$10,$A$2),"",IF($A425&lt;50,"n.a.",IF(COUNT(INDEX(StockDaily[Adjusted close],MAX(1,$A425-50+1)):E425)=50,AVERAGE(INDEX(StockDaily[Adjusted close],MAX(1,$A425-50+1)):E425),"n.a.")))</f>
        <v/>
      </c>
      <c r="G425" s="166" t="str">
        <f>IF($A425&gt;MIN($A$10,$A$2),"",IF($A425&lt;200,"n.a.",IF(COUNT(INDEX(StockDaily[Adjusted close],MAX(1,$A425-200+1)):E425)=200,AVERAGE(INDEX(StockDaily[Adjusted close],MAX(1,$A425-200+1)):E425),"n.a.")))</f>
        <v/>
      </c>
      <c r="H425" s="136" t="str">
        <f>IF($A425&gt;MIN($A$10,$A$2),"",IF($A$5="","Choose stock",IF(NOT($A$12),"Check split rule",IF(NOT(ISNUMBER(B425)),"Invalid date",IF(OR(B425&lt;=0,B425&lt;&gt;INT(B425)),"Invalid date",IF(COUNTIFS(DemoHistory[Date],B425)&lt;&gt;1,"Duplicate date",IF(AND($A425&gt;1,B425&lt;=B424),"Dates out of order",IF(NOT(ISNUMBER(C425)),"Missing price",IF(C425&lt;=0,"Nonpositive price","OK")))))))))</f>
        <v/>
      </c>
      <c r="I425" s="136"/>
      <c r="J425" s="136"/>
      <c r="K425" s="136"/>
      <c r="L425" s="136"/>
      <c r="M425" s="136"/>
      <c r="N425" s="136" t="e">
        <f t="shared" si="16"/>
        <v>#N/A</v>
      </c>
      <c r="O425" s="136" t="e">
        <f t="shared" si="17"/>
        <v>#N/A</v>
      </c>
    </row>
    <row r="426" spans="1:15" ht="22.05" customHeight="1" x14ac:dyDescent="0.3">
      <c r="A426" s="136">
        <v>382</v>
      </c>
      <c r="B426" s="165" t="str">
        <f>IF($A426&gt;MIN($A$10,$A$2),"",INDEX(DemoHistory[Date],$A426))</f>
        <v/>
      </c>
      <c r="C426" s="166" t="str">
        <f>IF(OR($A426&gt;MIN($A$10,$A$2),$A$5=""),"",INDEX(DemoHistory[],$A426,MATCH($A$5,DemoHistory[#Headers],0)))</f>
        <v/>
      </c>
      <c r="D426" s="166" t="str">
        <f>IF($A426&gt;MIN($A$10,$A$2),"",IF(AND($A$12,$A$6=1,B426&lt;$A$7,$A$7&lt;=MAX(DemoHistory[Date])),$A$8,1))</f>
        <v/>
      </c>
      <c r="E426" s="166" t="str">
        <f t="shared" si="15"/>
        <v/>
      </c>
      <c r="F426" s="166" t="str">
        <f>IF($A426&gt;MIN($A$10,$A$2),"",IF($A426&lt;50,"n.a.",IF(COUNT(INDEX(StockDaily[Adjusted close],MAX(1,$A426-50+1)):E426)=50,AVERAGE(INDEX(StockDaily[Adjusted close],MAX(1,$A426-50+1)):E426),"n.a.")))</f>
        <v/>
      </c>
      <c r="G426" s="166" t="str">
        <f>IF($A426&gt;MIN($A$10,$A$2),"",IF($A426&lt;200,"n.a.",IF(COUNT(INDEX(StockDaily[Adjusted close],MAX(1,$A426-200+1)):E426)=200,AVERAGE(INDEX(StockDaily[Adjusted close],MAX(1,$A426-200+1)):E426),"n.a.")))</f>
        <v/>
      </c>
      <c r="H426" s="136" t="str">
        <f>IF($A426&gt;MIN($A$10,$A$2),"",IF($A$5="","Choose stock",IF(NOT($A$12),"Check split rule",IF(NOT(ISNUMBER(B426)),"Invalid date",IF(OR(B426&lt;=0,B426&lt;&gt;INT(B426)),"Invalid date",IF(COUNTIFS(DemoHistory[Date],B426)&lt;&gt;1,"Duplicate date",IF(AND($A426&gt;1,B426&lt;=B425),"Dates out of order",IF(NOT(ISNUMBER(C426)),"Missing price",IF(C426&lt;=0,"Nonpositive price","OK")))))))))</f>
        <v/>
      </c>
      <c r="I426" s="136"/>
      <c r="J426" s="136"/>
      <c r="K426" s="136"/>
      <c r="L426" s="136"/>
      <c r="M426" s="136"/>
      <c r="N426" s="136" t="e">
        <f t="shared" si="16"/>
        <v>#N/A</v>
      </c>
      <c r="O426" s="136" t="e">
        <f t="shared" si="17"/>
        <v>#N/A</v>
      </c>
    </row>
    <row r="427" spans="1:15" ht="22.05" customHeight="1" x14ac:dyDescent="0.3">
      <c r="A427" s="136">
        <v>383</v>
      </c>
      <c r="B427" s="165" t="str">
        <f>IF($A427&gt;MIN($A$10,$A$2),"",INDEX(DemoHistory[Date],$A427))</f>
        <v/>
      </c>
      <c r="C427" s="166" t="str">
        <f>IF(OR($A427&gt;MIN($A$10,$A$2),$A$5=""),"",INDEX(DemoHistory[],$A427,MATCH($A$5,DemoHistory[#Headers],0)))</f>
        <v/>
      </c>
      <c r="D427" s="166" t="str">
        <f>IF($A427&gt;MIN($A$10,$A$2),"",IF(AND($A$12,$A$6=1,B427&lt;$A$7,$A$7&lt;=MAX(DemoHistory[Date])),$A$8,1))</f>
        <v/>
      </c>
      <c r="E427" s="166" t="str">
        <f t="shared" si="15"/>
        <v/>
      </c>
      <c r="F427" s="166" t="str">
        <f>IF($A427&gt;MIN($A$10,$A$2),"",IF($A427&lt;50,"n.a.",IF(COUNT(INDEX(StockDaily[Adjusted close],MAX(1,$A427-50+1)):E427)=50,AVERAGE(INDEX(StockDaily[Adjusted close],MAX(1,$A427-50+1)):E427),"n.a.")))</f>
        <v/>
      </c>
      <c r="G427" s="166" t="str">
        <f>IF($A427&gt;MIN($A$10,$A$2),"",IF($A427&lt;200,"n.a.",IF(COUNT(INDEX(StockDaily[Adjusted close],MAX(1,$A427-200+1)):E427)=200,AVERAGE(INDEX(StockDaily[Adjusted close],MAX(1,$A427-200+1)):E427),"n.a.")))</f>
        <v/>
      </c>
      <c r="H427" s="136" t="str">
        <f>IF($A427&gt;MIN($A$10,$A$2),"",IF($A$5="","Choose stock",IF(NOT($A$12),"Check split rule",IF(NOT(ISNUMBER(B427)),"Invalid date",IF(OR(B427&lt;=0,B427&lt;&gt;INT(B427)),"Invalid date",IF(COUNTIFS(DemoHistory[Date],B427)&lt;&gt;1,"Duplicate date",IF(AND($A427&gt;1,B427&lt;=B426),"Dates out of order",IF(NOT(ISNUMBER(C427)),"Missing price",IF(C427&lt;=0,"Nonpositive price","OK")))))))))</f>
        <v/>
      </c>
      <c r="I427" s="136"/>
      <c r="J427" s="136"/>
      <c r="K427" s="136"/>
      <c r="L427" s="136"/>
      <c r="M427" s="136"/>
      <c r="N427" s="136" t="e">
        <f t="shared" si="16"/>
        <v>#N/A</v>
      </c>
      <c r="O427" s="136" t="e">
        <f t="shared" si="17"/>
        <v>#N/A</v>
      </c>
    </row>
    <row r="428" spans="1:15" ht="22.05" customHeight="1" x14ac:dyDescent="0.3">
      <c r="A428" s="136">
        <v>384</v>
      </c>
      <c r="B428" s="165" t="str">
        <f>IF($A428&gt;MIN($A$10,$A$2),"",INDEX(DemoHistory[Date],$A428))</f>
        <v/>
      </c>
      <c r="C428" s="166" t="str">
        <f>IF(OR($A428&gt;MIN($A$10,$A$2),$A$5=""),"",INDEX(DemoHistory[],$A428,MATCH($A$5,DemoHistory[#Headers],0)))</f>
        <v/>
      </c>
      <c r="D428" s="166" t="str">
        <f>IF($A428&gt;MIN($A$10,$A$2),"",IF(AND($A$12,$A$6=1,B428&lt;$A$7,$A$7&lt;=MAX(DemoHistory[Date])),$A$8,1))</f>
        <v/>
      </c>
      <c r="E428" s="166" t="str">
        <f t="shared" si="15"/>
        <v/>
      </c>
      <c r="F428" s="166" t="str">
        <f>IF($A428&gt;MIN($A$10,$A$2),"",IF($A428&lt;50,"n.a.",IF(COUNT(INDEX(StockDaily[Adjusted close],MAX(1,$A428-50+1)):E428)=50,AVERAGE(INDEX(StockDaily[Adjusted close],MAX(1,$A428-50+1)):E428),"n.a.")))</f>
        <v/>
      </c>
      <c r="G428" s="166" t="str">
        <f>IF($A428&gt;MIN($A$10,$A$2),"",IF($A428&lt;200,"n.a.",IF(COUNT(INDEX(StockDaily[Adjusted close],MAX(1,$A428-200+1)):E428)=200,AVERAGE(INDEX(StockDaily[Adjusted close],MAX(1,$A428-200+1)):E428),"n.a.")))</f>
        <v/>
      </c>
      <c r="H428" s="136" t="str">
        <f>IF($A428&gt;MIN($A$10,$A$2),"",IF($A$5="","Choose stock",IF(NOT($A$12),"Check split rule",IF(NOT(ISNUMBER(B428)),"Invalid date",IF(OR(B428&lt;=0,B428&lt;&gt;INT(B428)),"Invalid date",IF(COUNTIFS(DemoHistory[Date],B428)&lt;&gt;1,"Duplicate date",IF(AND($A428&gt;1,B428&lt;=B427),"Dates out of order",IF(NOT(ISNUMBER(C428)),"Missing price",IF(C428&lt;=0,"Nonpositive price","OK")))))))))</f>
        <v/>
      </c>
      <c r="I428" s="136"/>
      <c r="J428" s="136"/>
      <c r="K428" s="136"/>
      <c r="L428" s="136"/>
      <c r="M428" s="136"/>
      <c r="N428" s="136" t="e">
        <f t="shared" si="16"/>
        <v>#N/A</v>
      </c>
      <c r="O428" s="136" t="e">
        <f t="shared" si="17"/>
        <v>#N/A</v>
      </c>
    </row>
    <row r="429" spans="1:15" ht="22.05" customHeight="1" x14ac:dyDescent="0.3">
      <c r="A429" s="136">
        <v>385</v>
      </c>
      <c r="B429" s="165" t="str">
        <f>IF($A429&gt;MIN($A$10,$A$2),"",INDEX(DemoHistory[Date],$A429))</f>
        <v/>
      </c>
      <c r="C429" s="166" t="str">
        <f>IF(OR($A429&gt;MIN($A$10,$A$2),$A$5=""),"",INDEX(DemoHistory[],$A429,MATCH($A$5,DemoHistory[#Headers],0)))</f>
        <v/>
      </c>
      <c r="D429" s="166" t="str">
        <f>IF($A429&gt;MIN($A$10,$A$2),"",IF(AND($A$12,$A$6=1,B429&lt;$A$7,$A$7&lt;=MAX(DemoHistory[Date])),$A$8,1))</f>
        <v/>
      </c>
      <c r="E429" s="166" t="str">
        <f t="shared" ref="E429:E492" si="18">IF($A429&gt;MIN($A$10,$A$2),"",IF(H429="OK",C429/D429,"n.a."))</f>
        <v/>
      </c>
      <c r="F429" s="166" t="str">
        <f>IF($A429&gt;MIN($A$10,$A$2),"",IF($A429&lt;50,"n.a.",IF(COUNT(INDEX(StockDaily[Adjusted close],MAX(1,$A429-50+1)):E429)=50,AVERAGE(INDEX(StockDaily[Adjusted close],MAX(1,$A429-50+1)):E429),"n.a.")))</f>
        <v/>
      </c>
      <c r="G429" s="166" t="str">
        <f>IF($A429&gt;MIN($A$10,$A$2),"",IF($A429&lt;200,"n.a.",IF(COUNT(INDEX(StockDaily[Adjusted close],MAX(1,$A429-200+1)):E429)=200,AVERAGE(INDEX(StockDaily[Adjusted close],MAX(1,$A429-200+1)):E429),"n.a.")))</f>
        <v/>
      </c>
      <c r="H429" s="136" t="str">
        <f>IF($A429&gt;MIN($A$10,$A$2),"",IF($A$5="","Choose stock",IF(NOT($A$12),"Check split rule",IF(NOT(ISNUMBER(B429)),"Invalid date",IF(OR(B429&lt;=0,B429&lt;&gt;INT(B429)),"Invalid date",IF(COUNTIFS(DemoHistory[Date],B429)&lt;&gt;1,"Duplicate date",IF(AND($A429&gt;1,B429&lt;=B428),"Dates out of order",IF(NOT(ISNUMBER(C429)),"Missing price",IF(C429&lt;=0,"Nonpositive price","OK")))))))))</f>
        <v/>
      </c>
      <c r="I429" s="136"/>
      <c r="J429" s="136"/>
      <c r="K429" s="136"/>
      <c r="L429" s="136"/>
      <c r="M429" s="136"/>
      <c r="N429" s="136" t="e">
        <f t="shared" ref="N429:N492" si="19">IF(AND($A$13="Ready",ISNUMBER(E429)),E429,NA())</f>
        <v>#N/A</v>
      </c>
      <c r="O429" s="136" t="e">
        <f t="shared" ref="O429:O492" si="20">IF(AND($A$13="Ready",ISNUMBER(F429)),F429,NA())</f>
        <v>#N/A</v>
      </c>
    </row>
    <row r="430" spans="1:15" ht="22.05" customHeight="1" x14ac:dyDescent="0.3">
      <c r="A430" s="136">
        <v>386</v>
      </c>
      <c r="B430" s="165" t="str">
        <f>IF($A430&gt;MIN($A$10,$A$2),"",INDEX(DemoHistory[Date],$A430))</f>
        <v/>
      </c>
      <c r="C430" s="166" t="str">
        <f>IF(OR($A430&gt;MIN($A$10,$A$2),$A$5=""),"",INDEX(DemoHistory[],$A430,MATCH($A$5,DemoHistory[#Headers],0)))</f>
        <v/>
      </c>
      <c r="D430" s="166" t="str">
        <f>IF($A430&gt;MIN($A$10,$A$2),"",IF(AND($A$12,$A$6=1,B430&lt;$A$7,$A$7&lt;=MAX(DemoHistory[Date])),$A$8,1))</f>
        <v/>
      </c>
      <c r="E430" s="166" t="str">
        <f t="shared" si="18"/>
        <v/>
      </c>
      <c r="F430" s="166" t="str">
        <f>IF($A430&gt;MIN($A$10,$A$2),"",IF($A430&lt;50,"n.a.",IF(COUNT(INDEX(StockDaily[Adjusted close],MAX(1,$A430-50+1)):E430)=50,AVERAGE(INDEX(StockDaily[Adjusted close],MAX(1,$A430-50+1)):E430),"n.a.")))</f>
        <v/>
      </c>
      <c r="G430" s="166" t="str">
        <f>IF($A430&gt;MIN($A$10,$A$2),"",IF($A430&lt;200,"n.a.",IF(COUNT(INDEX(StockDaily[Adjusted close],MAX(1,$A430-200+1)):E430)=200,AVERAGE(INDEX(StockDaily[Adjusted close],MAX(1,$A430-200+1)):E430),"n.a.")))</f>
        <v/>
      </c>
      <c r="H430" s="136" t="str">
        <f>IF($A430&gt;MIN($A$10,$A$2),"",IF($A$5="","Choose stock",IF(NOT($A$12),"Check split rule",IF(NOT(ISNUMBER(B430)),"Invalid date",IF(OR(B430&lt;=0,B430&lt;&gt;INT(B430)),"Invalid date",IF(COUNTIFS(DemoHistory[Date],B430)&lt;&gt;1,"Duplicate date",IF(AND($A430&gt;1,B430&lt;=B429),"Dates out of order",IF(NOT(ISNUMBER(C430)),"Missing price",IF(C430&lt;=0,"Nonpositive price","OK")))))))))</f>
        <v/>
      </c>
      <c r="I430" s="136"/>
      <c r="J430" s="136"/>
      <c r="K430" s="136"/>
      <c r="L430" s="136"/>
      <c r="M430" s="136"/>
      <c r="N430" s="136" t="e">
        <f t="shared" si="19"/>
        <v>#N/A</v>
      </c>
      <c r="O430" s="136" t="e">
        <f t="shared" si="20"/>
        <v>#N/A</v>
      </c>
    </row>
    <row r="431" spans="1:15" ht="22.05" customHeight="1" x14ac:dyDescent="0.3">
      <c r="A431" s="136">
        <v>387</v>
      </c>
      <c r="B431" s="165" t="str">
        <f>IF($A431&gt;MIN($A$10,$A$2),"",INDEX(DemoHistory[Date],$A431))</f>
        <v/>
      </c>
      <c r="C431" s="166" t="str">
        <f>IF(OR($A431&gt;MIN($A$10,$A$2),$A$5=""),"",INDEX(DemoHistory[],$A431,MATCH($A$5,DemoHistory[#Headers],0)))</f>
        <v/>
      </c>
      <c r="D431" s="166" t="str">
        <f>IF($A431&gt;MIN($A$10,$A$2),"",IF(AND($A$12,$A$6=1,B431&lt;$A$7,$A$7&lt;=MAX(DemoHistory[Date])),$A$8,1))</f>
        <v/>
      </c>
      <c r="E431" s="166" t="str">
        <f t="shared" si="18"/>
        <v/>
      </c>
      <c r="F431" s="166" t="str">
        <f>IF($A431&gt;MIN($A$10,$A$2),"",IF($A431&lt;50,"n.a.",IF(COUNT(INDEX(StockDaily[Adjusted close],MAX(1,$A431-50+1)):E431)=50,AVERAGE(INDEX(StockDaily[Adjusted close],MAX(1,$A431-50+1)):E431),"n.a.")))</f>
        <v/>
      </c>
      <c r="G431" s="166" t="str">
        <f>IF($A431&gt;MIN($A$10,$A$2),"",IF($A431&lt;200,"n.a.",IF(COUNT(INDEX(StockDaily[Adjusted close],MAX(1,$A431-200+1)):E431)=200,AVERAGE(INDEX(StockDaily[Adjusted close],MAX(1,$A431-200+1)):E431),"n.a.")))</f>
        <v/>
      </c>
      <c r="H431" s="136" t="str">
        <f>IF($A431&gt;MIN($A$10,$A$2),"",IF($A$5="","Choose stock",IF(NOT($A$12),"Check split rule",IF(NOT(ISNUMBER(B431)),"Invalid date",IF(OR(B431&lt;=0,B431&lt;&gt;INT(B431)),"Invalid date",IF(COUNTIFS(DemoHistory[Date],B431)&lt;&gt;1,"Duplicate date",IF(AND($A431&gt;1,B431&lt;=B430),"Dates out of order",IF(NOT(ISNUMBER(C431)),"Missing price",IF(C431&lt;=0,"Nonpositive price","OK")))))))))</f>
        <v/>
      </c>
      <c r="I431" s="136"/>
      <c r="J431" s="136"/>
      <c r="K431" s="136"/>
      <c r="L431" s="136"/>
      <c r="M431" s="136"/>
      <c r="N431" s="136" t="e">
        <f t="shared" si="19"/>
        <v>#N/A</v>
      </c>
      <c r="O431" s="136" t="e">
        <f t="shared" si="20"/>
        <v>#N/A</v>
      </c>
    </row>
    <row r="432" spans="1:15" ht="22.05" customHeight="1" x14ac:dyDescent="0.3">
      <c r="A432" s="136">
        <v>388</v>
      </c>
      <c r="B432" s="165" t="str">
        <f>IF($A432&gt;MIN($A$10,$A$2),"",INDEX(DemoHistory[Date],$A432))</f>
        <v/>
      </c>
      <c r="C432" s="166" t="str">
        <f>IF(OR($A432&gt;MIN($A$10,$A$2),$A$5=""),"",INDEX(DemoHistory[],$A432,MATCH($A$5,DemoHistory[#Headers],0)))</f>
        <v/>
      </c>
      <c r="D432" s="166" t="str">
        <f>IF($A432&gt;MIN($A$10,$A$2),"",IF(AND($A$12,$A$6=1,B432&lt;$A$7,$A$7&lt;=MAX(DemoHistory[Date])),$A$8,1))</f>
        <v/>
      </c>
      <c r="E432" s="166" t="str">
        <f t="shared" si="18"/>
        <v/>
      </c>
      <c r="F432" s="166" t="str">
        <f>IF($A432&gt;MIN($A$10,$A$2),"",IF($A432&lt;50,"n.a.",IF(COUNT(INDEX(StockDaily[Adjusted close],MAX(1,$A432-50+1)):E432)=50,AVERAGE(INDEX(StockDaily[Adjusted close],MAX(1,$A432-50+1)):E432),"n.a.")))</f>
        <v/>
      </c>
      <c r="G432" s="166" t="str">
        <f>IF($A432&gt;MIN($A$10,$A$2),"",IF($A432&lt;200,"n.a.",IF(COUNT(INDEX(StockDaily[Adjusted close],MAX(1,$A432-200+1)):E432)=200,AVERAGE(INDEX(StockDaily[Adjusted close],MAX(1,$A432-200+1)):E432),"n.a.")))</f>
        <v/>
      </c>
      <c r="H432" s="136" t="str">
        <f>IF($A432&gt;MIN($A$10,$A$2),"",IF($A$5="","Choose stock",IF(NOT($A$12),"Check split rule",IF(NOT(ISNUMBER(B432)),"Invalid date",IF(OR(B432&lt;=0,B432&lt;&gt;INT(B432)),"Invalid date",IF(COUNTIFS(DemoHistory[Date],B432)&lt;&gt;1,"Duplicate date",IF(AND($A432&gt;1,B432&lt;=B431),"Dates out of order",IF(NOT(ISNUMBER(C432)),"Missing price",IF(C432&lt;=0,"Nonpositive price","OK")))))))))</f>
        <v/>
      </c>
      <c r="I432" s="136"/>
      <c r="J432" s="136"/>
      <c r="K432" s="136"/>
      <c r="L432" s="136"/>
      <c r="M432" s="136"/>
      <c r="N432" s="136" t="e">
        <f t="shared" si="19"/>
        <v>#N/A</v>
      </c>
      <c r="O432" s="136" t="e">
        <f t="shared" si="20"/>
        <v>#N/A</v>
      </c>
    </row>
    <row r="433" spans="1:15" ht="22.05" customHeight="1" x14ac:dyDescent="0.3">
      <c r="A433" s="136">
        <v>389</v>
      </c>
      <c r="B433" s="165" t="str">
        <f>IF($A433&gt;MIN($A$10,$A$2),"",INDEX(DemoHistory[Date],$A433))</f>
        <v/>
      </c>
      <c r="C433" s="166" t="str">
        <f>IF(OR($A433&gt;MIN($A$10,$A$2),$A$5=""),"",INDEX(DemoHistory[],$A433,MATCH($A$5,DemoHistory[#Headers],0)))</f>
        <v/>
      </c>
      <c r="D433" s="166" t="str">
        <f>IF($A433&gt;MIN($A$10,$A$2),"",IF(AND($A$12,$A$6=1,B433&lt;$A$7,$A$7&lt;=MAX(DemoHistory[Date])),$A$8,1))</f>
        <v/>
      </c>
      <c r="E433" s="166" t="str">
        <f t="shared" si="18"/>
        <v/>
      </c>
      <c r="F433" s="166" t="str">
        <f>IF($A433&gt;MIN($A$10,$A$2),"",IF($A433&lt;50,"n.a.",IF(COUNT(INDEX(StockDaily[Adjusted close],MAX(1,$A433-50+1)):E433)=50,AVERAGE(INDEX(StockDaily[Adjusted close],MAX(1,$A433-50+1)):E433),"n.a.")))</f>
        <v/>
      </c>
      <c r="G433" s="166" t="str">
        <f>IF($A433&gt;MIN($A$10,$A$2),"",IF($A433&lt;200,"n.a.",IF(COUNT(INDEX(StockDaily[Adjusted close],MAX(1,$A433-200+1)):E433)=200,AVERAGE(INDEX(StockDaily[Adjusted close],MAX(1,$A433-200+1)):E433),"n.a.")))</f>
        <v/>
      </c>
      <c r="H433" s="136" t="str">
        <f>IF($A433&gt;MIN($A$10,$A$2),"",IF($A$5="","Choose stock",IF(NOT($A$12),"Check split rule",IF(NOT(ISNUMBER(B433)),"Invalid date",IF(OR(B433&lt;=0,B433&lt;&gt;INT(B433)),"Invalid date",IF(COUNTIFS(DemoHistory[Date],B433)&lt;&gt;1,"Duplicate date",IF(AND($A433&gt;1,B433&lt;=B432),"Dates out of order",IF(NOT(ISNUMBER(C433)),"Missing price",IF(C433&lt;=0,"Nonpositive price","OK")))))))))</f>
        <v/>
      </c>
      <c r="I433" s="136"/>
      <c r="J433" s="136"/>
      <c r="K433" s="136"/>
      <c r="L433" s="136"/>
      <c r="M433" s="136"/>
      <c r="N433" s="136" t="e">
        <f t="shared" si="19"/>
        <v>#N/A</v>
      </c>
      <c r="O433" s="136" t="e">
        <f t="shared" si="20"/>
        <v>#N/A</v>
      </c>
    </row>
    <row r="434" spans="1:15" ht="22.05" customHeight="1" x14ac:dyDescent="0.3">
      <c r="A434" s="136">
        <v>390</v>
      </c>
      <c r="B434" s="165" t="str">
        <f>IF($A434&gt;MIN($A$10,$A$2),"",INDEX(DemoHistory[Date],$A434))</f>
        <v/>
      </c>
      <c r="C434" s="166" t="str">
        <f>IF(OR($A434&gt;MIN($A$10,$A$2),$A$5=""),"",INDEX(DemoHistory[],$A434,MATCH($A$5,DemoHistory[#Headers],0)))</f>
        <v/>
      </c>
      <c r="D434" s="166" t="str">
        <f>IF($A434&gt;MIN($A$10,$A$2),"",IF(AND($A$12,$A$6=1,B434&lt;$A$7,$A$7&lt;=MAX(DemoHistory[Date])),$A$8,1))</f>
        <v/>
      </c>
      <c r="E434" s="166" t="str">
        <f t="shared" si="18"/>
        <v/>
      </c>
      <c r="F434" s="166" t="str">
        <f>IF($A434&gt;MIN($A$10,$A$2),"",IF($A434&lt;50,"n.a.",IF(COUNT(INDEX(StockDaily[Adjusted close],MAX(1,$A434-50+1)):E434)=50,AVERAGE(INDEX(StockDaily[Adjusted close],MAX(1,$A434-50+1)):E434),"n.a.")))</f>
        <v/>
      </c>
      <c r="G434" s="166" t="str">
        <f>IF($A434&gt;MIN($A$10,$A$2),"",IF($A434&lt;200,"n.a.",IF(COUNT(INDEX(StockDaily[Adjusted close],MAX(1,$A434-200+1)):E434)=200,AVERAGE(INDEX(StockDaily[Adjusted close],MAX(1,$A434-200+1)):E434),"n.a.")))</f>
        <v/>
      </c>
      <c r="H434" s="136" t="str">
        <f>IF($A434&gt;MIN($A$10,$A$2),"",IF($A$5="","Choose stock",IF(NOT($A$12),"Check split rule",IF(NOT(ISNUMBER(B434)),"Invalid date",IF(OR(B434&lt;=0,B434&lt;&gt;INT(B434)),"Invalid date",IF(COUNTIFS(DemoHistory[Date],B434)&lt;&gt;1,"Duplicate date",IF(AND($A434&gt;1,B434&lt;=B433),"Dates out of order",IF(NOT(ISNUMBER(C434)),"Missing price",IF(C434&lt;=0,"Nonpositive price","OK")))))))))</f>
        <v/>
      </c>
      <c r="I434" s="136"/>
      <c r="J434" s="136"/>
      <c r="K434" s="136"/>
      <c r="L434" s="136"/>
      <c r="M434" s="136"/>
      <c r="N434" s="136" t="e">
        <f t="shared" si="19"/>
        <v>#N/A</v>
      </c>
      <c r="O434" s="136" t="e">
        <f t="shared" si="20"/>
        <v>#N/A</v>
      </c>
    </row>
    <row r="435" spans="1:15" ht="22.05" customHeight="1" x14ac:dyDescent="0.3">
      <c r="A435" s="136">
        <v>391</v>
      </c>
      <c r="B435" s="165" t="str">
        <f>IF($A435&gt;MIN($A$10,$A$2),"",INDEX(DemoHistory[Date],$A435))</f>
        <v/>
      </c>
      <c r="C435" s="166" t="str">
        <f>IF(OR($A435&gt;MIN($A$10,$A$2),$A$5=""),"",INDEX(DemoHistory[],$A435,MATCH($A$5,DemoHistory[#Headers],0)))</f>
        <v/>
      </c>
      <c r="D435" s="166" t="str">
        <f>IF($A435&gt;MIN($A$10,$A$2),"",IF(AND($A$12,$A$6=1,B435&lt;$A$7,$A$7&lt;=MAX(DemoHistory[Date])),$A$8,1))</f>
        <v/>
      </c>
      <c r="E435" s="166" t="str">
        <f t="shared" si="18"/>
        <v/>
      </c>
      <c r="F435" s="166" t="str">
        <f>IF($A435&gt;MIN($A$10,$A$2),"",IF($A435&lt;50,"n.a.",IF(COUNT(INDEX(StockDaily[Adjusted close],MAX(1,$A435-50+1)):E435)=50,AVERAGE(INDEX(StockDaily[Adjusted close],MAX(1,$A435-50+1)):E435),"n.a.")))</f>
        <v/>
      </c>
      <c r="G435" s="166" t="str">
        <f>IF($A435&gt;MIN($A$10,$A$2),"",IF($A435&lt;200,"n.a.",IF(COUNT(INDEX(StockDaily[Adjusted close],MAX(1,$A435-200+1)):E435)=200,AVERAGE(INDEX(StockDaily[Adjusted close],MAX(1,$A435-200+1)):E435),"n.a.")))</f>
        <v/>
      </c>
      <c r="H435" s="136" t="str">
        <f>IF($A435&gt;MIN($A$10,$A$2),"",IF($A$5="","Choose stock",IF(NOT($A$12),"Check split rule",IF(NOT(ISNUMBER(B435)),"Invalid date",IF(OR(B435&lt;=0,B435&lt;&gt;INT(B435)),"Invalid date",IF(COUNTIFS(DemoHistory[Date],B435)&lt;&gt;1,"Duplicate date",IF(AND($A435&gt;1,B435&lt;=B434),"Dates out of order",IF(NOT(ISNUMBER(C435)),"Missing price",IF(C435&lt;=0,"Nonpositive price","OK")))))))))</f>
        <v/>
      </c>
      <c r="I435" s="136"/>
      <c r="J435" s="136"/>
      <c r="K435" s="136"/>
      <c r="L435" s="136"/>
      <c r="M435" s="136"/>
      <c r="N435" s="136" t="e">
        <f t="shared" si="19"/>
        <v>#N/A</v>
      </c>
      <c r="O435" s="136" t="e">
        <f t="shared" si="20"/>
        <v>#N/A</v>
      </c>
    </row>
    <row r="436" spans="1:15" ht="22.05" customHeight="1" x14ac:dyDescent="0.3">
      <c r="A436" s="136">
        <v>392</v>
      </c>
      <c r="B436" s="165" t="str">
        <f>IF($A436&gt;MIN($A$10,$A$2),"",INDEX(DemoHistory[Date],$A436))</f>
        <v/>
      </c>
      <c r="C436" s="166" t="str">
        <f>IF(OR($A436&gt;MIN($A$10,$A$2),$A$5=""),"",INDEX(DemoHistory[],$A436,MATCH($A$5,DemoHistory[#Headers],0)))</f>
        <v/>
      </c>
      <c r="D436" s="166" t="str">
        <f>IF($A436&gt;MIN($A$10,$A$2),"",IF(AND($A$12,$A$6=1,B436&lt;$A$7,$A$7&lt;=MAX(DemoHistory[Date])),$A$8,1))</f>
        <v/>
      </c>
      <c r="E436" s="166" t="str">
        <f t="shared" si="18"/>
        <v/>
      </c>
      <c r="F436" s="166" t="str">
        <f>IF($A436&gt;MIN($A$10,$A$2),"",IF($A436&lt;50,"n.a.",IF(COUNT(INDEX(StockDaily[Adjusted close],MAX(1,$A436-50+1)):E436)=50,AVERAGE(INDEX(StockDaily[Adjusted close],MAX(1,$A436-50+1)):E436),"n.a.")))</f>
        <v/>
      </c>
      <c r="G436" s="166" t="str">
        <f>IF($A436&gt;MIN($A$10,$A$2),"",IF($A436&lt;200,"n.a.",IF(COUNT(INDEX(StockDaily[Adjusted close],MAX(1,$A436-200+1)):E436)=200,AVERAGE(INDEX(StockDaily[Adjusted close],MAX(1,$A436-200+1)):E436),"n.a.")))</f>
        <v/>
      </c>
      <c r="H436" s="136" t="str">
        <f>IF($A436&gt;MIN($A$10,$A$2),"",IF($A$5="","Choose stock",IF(NOT($A$12),"Check split rule",IF(NOT(ISNUMBER(B436)),"Invalid date",IF(OR(B436&lt;=0,B436&lt;&gt;INT(B436)),"Invalid date",IF(COUNTIFS(DemoHistory[Date],B436)&lt;&gt;1,"Duplicate date",IF(AND($A436&gt;1,B436&lt;=B435),"Dates out of order",IF(NOT(ISNUMBER(C436)),"Missing price",IF(C436&lt;=0,"Nonpositive price","OK")))))))))</f>
        <v/>
      </c>
      <c r="I436" s="136"/>
      <c r="J436" s="136"/>
      <c r="K436" s="136"/>
      <c r="L436" s="136"/>
      <c r="M436" s="136"/>
      <c r="N436" s="136" t="e">
        <f t="shared" si="19"/>
        <v>#N/A</v>
      </c>
      <c r="O436" s="136" t="e">
        <f t="shared" si="20"/>
        <v>#N/A</v>
      </c>
    </row>
    <row r="437" spans="1:15" ht="22.05" customHeight="1" x14ac:dyDescent="0.3">
      <c r="A437" s="136">
        <v>393</v>
      </c>
      <c r="B437" s="165" t="str">
        <f>IF($A437&gt;MIN($A$10,$A$2),"",INDEX(DemoHistory[Date],$A437))</f>
        <v/>
      </c>
      <c r="C437" s="166" t="str">
        <f>IF(OR($A437&gt;MIN($A$10,$A$2),$A$5=""),"",INDEX(DemoHistory[],$A437,MATCH($A$5,DemoHistory[#Headers],0)))</f>
        <v/>
      </c>
      <c r="D437" s="166" t="str">
        <f>IF($A437&gt;MIN($A$10,$A$2),"",IF(AND($A$12,$A$6=1,B437&lt;$A$7,$A$7&lt;=MAX(DemoHistory[Date])),$A$8,1))</f>
        <v/>
      </c>
      <c r="E437" s="166" t="str">
        <f t="shared" si="18"/>
        <v/>
      </c>
      <c r="F437" s="166" t="str">
        <f>IF($A437&gt;MIN($A$10,$A$2),"",IF($A437&lt;50,"n.a.",IF(COUNT(INDEX(StockDaily[Adjusted close],MAX(1,$A437-50+1)):E437)=50,AVERAGE(INDEX(StockDaily[Adjusted close],MAX(1,$A437-50+1)):E437),"n.a.")))</f>
        <v/>
      </c>
      <c r="G437" s="166" t="str">
        <f>IF($A437&gt;MIN($A$10,$A$2),"",IF($A437&lt;200,"n.a.",IF(COUNT(INDEX(StockDaily[Adjusted close],MAX(1,$A437-200+1)):E437)=200,AVERAGE(INDEX(StockDaily[Adjusted close],MAX(1,$A437-200+1)):E437),"n.a.")))</f>
        <v/>
      </c>
      <c r="H437" s="136" t="str">
        <f>IF($A437&gt;MIN($A$10,$A$2),"",IF($A$5="","Choose stock",IF(NOT($A$12),"Check split rule",IF(NOT(ISNUMBER(B437)),"Invalid date",IF(OR(B437&lt;=0,B437&lt;&gt;INT(B437)),"Invalid date",IF(COUNTIFS(DemoHistory[Date],B437)&lt;&gt;1,"Duplicate date",IF(AND($A437&gt;1,B437&lt;=B436),"Dates out of order",IF(NOT(ISNUMBER(C437)),"Missing price",IF(C437&lt;=0,"Nonpositive price","OK")))))))))</f>
        <v/>
      </c>
      <c r="I437" s="136"/>
      <c r="J437" s="136"/>
      <c r="K437" s="136"/>
      <c r="L437" s="136"/>
      <c r="M437" s="136"/>
      <c r="N437" s="136" t="e">
        <f t="shared" si="19"/>
        <v>#N/A</v>
      </c>
      <c r="O437" s="136" t="e">
        <f t="shared" si="20"/>
        <v>#N/A</v>
      </c>
    </row>
    <row r="438" spans="1:15" ht="22.05" customHeight="1" x14ac:dyDescent="0.3">
      <c r="A438" s="136">
        <v>394</v>
      </c>
      <c r="B438" s="165" t="str">
        <f>IF($A438&gt;MIN($A$10,$A$2),"",INDEX(DemoHistory[Date],$A438))</f>
        <v/>
      </c>
      <c r="C438" s="166" t="str">
        <f>IF(OR($A438&gt;MIN($A$10,$A$2),$A$5=""),"",INDEX(DemoHistory[],$A438,MATCH($A$5,DemoHistory[#Headers],0)))</f>
        <v/>
      </c>
      <c r="D438" s="166" t="str">
        <f>IF($A438&gt;MIN($A$10,$A$2),"",IF(AND($A$12,$A$6=1,B438&lt;$A$7,$A$7&lt;=MAX(DemoHistory[Date])),$A$8,1))</f>
        <v/>
      </c>
      <c r="E438" s="166" t="str">
        <f t="shared" si="18"/>
        <v/>
      </c>
      <c r="F438" s="166" t="str">
        <f>IF($A438&gt;MIN($A$10,$A$2),"",IF($A438&lt;50,"n.a.",IF(COUNT(INDEX(StockDaily[Adjusted close],MAX(1,$A438-50+1)):E438)=50,AVERAGE(INDEX(StockDaily[Adjusted close],MAX(1,$A438-50+1)):E438),"n.a.")))</f>
        <v/>
      </c>
      <c r="G438" s="166" t="str">
        <f>IF($A438&gt;MIN($A$10,$A$2),"",IF($A438&lt;200,"n.a.",IF(COUNT(INDEX(StockDaily[Adjusted close],MAX(1,$A438-200+1)):E438)=200,AVERAGE(INDEX(StockDaily[Adjusted close],MAX(1,$A438-200+1)):E438),"n.a.")))</f>
        <v/>
      </c>
      <c r="H438" s="136" t="str">
        <f>IF($A438&gt;MIN($A$10,$A$2),"",IF($A$5="","Choose stock",IF(NOT($A$12),"Check split rule",IF(NOT(ISNUMBER(B438)),"Invalid date",IF(OR(B438&lt;=0,B438&lt;&gt;INT(B438)),"Invalid date",IF(COUNTIFS(DemoHistory[Date],B438)&lt;&gt;1,"Duplicate date",IF(AND($A438&gt;1,B438&lt;=B437),"Dates out of order",IF(NOT(ISNUMBER(C438)),"Missing price",IF(C438&lt;=0,"Nonpositive price","OK")))))))))</f>
        <v/>
      </c>
      <c r="I438" s="136"/>
      <c r="J438" s="136"/>
      <c r="K438" s="136"/>
      <c r="L438" s="136"/>
      <c r="M438" s="136"/>
      <c r="N438" s="136" t="e">
        <f t="shared" si="19"/>
        <v>#N/A</v>
      </c>
      <c r="O438" s="136" t="e">
        <f t="shared" si="20"/>
        <v>#N/A</v>
      </c>
    </row>
    <row r="439" spans="1:15" ht="22.05" customHeight="1" x14ac:dyDescent="0.3">
      <c r="A439" s="136">
        <v>395</v>
      </c>
      <c r="B439" s="165" t="str">
        <f>IF($A439&gt;MIN($A$10,$A$2),"",INDEX(DemoHistory[Date],$A439))</f>
        <v/>
      </c>
      <c r="C439" s="166" t="str">
        <f>IF(OR($A439&gt;MIN($A$10,$A$2),$A$5=""),"",INDEX(DemoHistory[],$A439,MATCH($A$5,DemoHistory[#Headers],0)))</f>
        <v/>
      </c>
      <c r="D439" s="166" t="str">
        <f>IF($A439&gt;MIN($A$10,$A$2),"",IF(AND($A$12,$A$6=1,B439&lt;$A$7,$A$7&lt;=MAX(DemoHistory[Date])),$A$8,1))</f>
        <v/>
      </c>
      <c r="E439" s="166" t="str">
        <f t="shared" si="18"/>
        <v/>
      </c>
      <c r="F439" s="166" t="str">
        <f>IF($A439&gt;MIN($A$10,$A$2),"",IF($A439&lt;50,"n.a.",IF(COUNT(INDEX(StockDaily[Adjusted close],MAX(1,$A439-50+1)):E439)=50,AVERAGE(INDEX(StockDaily[Adjusted close],MAX(1,$A439-50+1)):E439),"n.a.")))</f>
        <v/>
      </c>
      <c r="G439" s="166" t="str">
        <f>IF($A439&gt;MIN($A$10,$A$2),"",IF($A439&lt;200,"n.a.",IF(COUNT(INDEX(StockDaily[Adjusted close],MAX(1,$A439-200+1)):E439)=200,AVERAGE(INDEX(StockDaily[Adjusted close],MAX(1,$A439-200+1)):E439),"n.a.")))</f>
        <v/>
      </c>
      <c r="H439" s="136" t="str">
        <f>IF($A439&gt;MIN($A$10,$A$2),"",IF($A$5="","Choose stock",IF(NOT($A$12),"Check split rule",IF(NOT(ISNUMBER(B439)),"Invalid date",IF(OR(B439&lt;=0,B439&lt;&gt;INT(B439)),"Invalid date",IF(COUNTIFS(DemoHistory[Date],B439)&lt;&gt;1,"Duplicate date",IF(AND($A439&gt;1,B439&lt;=B438),"Dates out of order",IF(NOT(ISNUMBER(C439)),"Missing price",IF(C439&lt;=0,"Nonpositive price","OK")))))))))</f>
        <v/>
      </c>
      <c r="I439" s="136"/>
      <c r="J439" s="136"/>
      <c r="K439" s="136"/>
      <c r="L439" s="136"/>
      <c r="M439" s="136"/>
      <c r="N439" s="136" t="e">
        <f t="shared" si="19"/>
        <v>#N/A</v>
      </c>
      <c r="O439" s="136" t="e">
        <f t="shared" si="20"/>
        <v>#N/A</v>
      </c>
    </row>
    <row r="440" spans="1:15" ht="22.05" customHeight="1" x14ac:dyDescent="0.3">
      <c r="A440" s="136">
        <v>396</v>
      </c>
      <c r="B440" s="165" t="str">
        <f>IF($A440&gt;MIN($A$10,$A$2),"",INDEX(DemoHistory[Date],$A440))</f>
        <v/>
      </c>
      <c r="C440" s="166" t="str">
        <f>IF(OR($A440&gt;MIN($A$10,$A$2),$A$5=""),"",INDEX(DemoHistory[],$A440,MATCH($A$5,DemoHistory[#Headers],0)))</f>
        <v/>
      </c>
      <c r="D440" s="166" t="str">
        <f>IF($A440&gt;MIN($A$10,$A$2),"",IF(AND($A$12,$A$6=1,B440&lt;$A$7,$A$7&lt;=MAX(DemoHistory[Date])),$A$8,1))</f>
        <v/>
      </c>
      <c r="E440" s="166" t="str">
        <f t="shared" si="18"/>
        <v/>
      </c>
      <c r="F440" s="166" t="str">
        <f>IF($A440&gt;MIN($A$10,$A$2),"",IF($A440&lt;50,"n.a.",IF(COUNT(INDEX(StockDaily[Adjusted close],MAX(1,$A440-50+1)):E440)=50,AVERAGE(INDEX(StockDaily[Adjusted close],MAX(1,$A440-50+1)):E440),"n.a.")))</f>
        <v/>
      </c>
      <c r="G440" s="166" t="str">
        <f>IF($A440&gt;MIN($A$10,$A$2),"",IF($A440&lt;200,"n.a.",IF(COUNT(INDEX(StockDaily[Adjusted close],MAX(1,$A440-200+1)):E440)=200,AVERAGE(INDEX(StockDaily[Adjusted close],MAX(1,$A440-200+1)):E440),"n.a.")))</f>
        <v/>
      </c>
      <c r="H440" s="136" t="str">
        <f>IF($A440&gt;MIN($A$10,$A$2),"",IF($A$5="","Choose stock",IF(NOT($A$12),"Check split rule",IF(NOT(ISNUMBER(B440)),"Invalid date",IF(OR(B440&lt;=0,B440&lt;&gt;INT(B440)),"Invalid date",IF(COUNTIFS(DemoHistory[Date],B440)&lt;&gt;1,"Duplicate date",IF(AND($A440&gt;1,B440&lt;=B439),"Dates out of order",IF(NOT(ISNUMBER(C440)),"Missing price",IF(C440&lt;=0,"Nonpositive price","OK")))))))))</f>
        <v/>
      </c>
      <c r="I440" s="136"/>
      <c r="J440" s="136"/>
      <c r="K440" s="136"/>
      <c r="L440" s="136"/>
      <c r="M440" s="136"/>
      <c r="N440" s="136" t="e">
        <f t="shared" si="19"/>
        <v>#N/A</v>
      </c>
      <c r="O440" s="136" t="e">
        <f t="shared" si="20"/>
        <v>#N/A</v>
      </c>
    </row>
    <row r="441" spans="1:15" ht="22.05" customHeight="1" x14ac:dyDescent="0.3">
      <c r="A441" s="136">
        <v>397</v>
      </c>
      <c r="B441" s="165" t="str">
        <f>IF($A441&gt;MIN($A$10,$A$2),"",INDEX(DemoHistory[Date],$A441))</f>
        <v/>
      </c>
      <c r="C441" s="166" t="str">
        <f>IF(OR($A441&gt;MIN($A$10,$A$2),$A$5=""),"",INDEX(DemoHistory[],$A441,MATCH($A$5,DemoHistory[#Headers],0)))</f>
        <v/>
      </c>
      <c r="D441" s="166" t="str">
        <f>IF($A441&gt;MIN($A$10,$A$2),"",IF(AND($A$12,$A$6=1,B441&lt;$A$7,$A$7&lt;=MAX(DemoHistory[Date])),$A$8,1))</f>
        <v/>
      </c>
      <c r="E441" s="166" t="str">
        <f t="shared" si="18"/>
        <v/>
      </c>
      <c r="F441" s="166" t="str">
        <f>IF($A441&gt;MIN($A$10,$A$2),"",IF($A441&lt;50,"n.a.",IF(COUNT(INDEX(StockDaily[Adjusted close],MAX(1,$A441-50+1)):E441)=50,AVERAGE(INDEX(StockDaily[Adjusted close],MAX(1,$A441-50+1)):E441),"n.a.")))</f>
        <v/>
      </c>
      <c r="G441" s="166" t="str">
        <f>IF($A441&gt;MIN($A$10,$A$2),"",IF($A441&lt;200,"n.a.",IF(COUNT(INDEX(StockDaily[Adjusted close],MAX(1,$A441-200+1)):E441)=200,AVERAGE(INDEX(StockDaily[Adjusted close],MAX(1,$A441-200+1)):E441),"n.a.")))</f>
        <v/>
      </c>
      <c r="H441" s="136" t="str">
        <f>IF($A441&gt;MIN($A$10,$A$2),"",IF($A$5="","Choose stock",IF(NOT($A$12),"Check split rule",IF(NOT(ISNUMBER(B441)),"Invalid date",IF(OR(B441&lt;=0,B441&lt;&gt;INT(B441)),"Invalid date",IF(COUNTIFS(DemoHistory[Date],B441)&lt;&gt;1,"Duplicate date",IF(AND($A441&gt;1,B441&lt;=B440),"Dates out of order",IF(NOT(ISNUMBER(C441)),"Missing price",IF(C441&lt;=0,"Nonpositive price","OK")))))))))</f>
        <v/>
      </c>
      <c r="I441" s="136"/>
      <c r="J441" s="136"/>
      <c r="K441" s="136"/>
      <c r="L441" s="136"/>
      <c r="M441" s="136"/>
      <c r="N441" s="136" t="e">
        <f t="shared" si="19"/>
        <v>#N/A</v>
      </c>
      <c r="O441" s="136" t="e">
        <f t="shared" si="20"/>
        <v>#N/A</v>
      </c>
    </row>
    <row r="442" spans="1:15" ht="22.05" customHeight="1" x14ac:dyDescent="0.3">
      <c r="A442" s="136">
        <v>398</v>
      </c>
      <c r="B442" s="165" t="str">
        <f>IF($A442&gt;MIN($A$10,$A$2),"",INDEX(DemoHistory[Date],$A442))</f>
        <v/>
      </c>
      <c r="C442" s="166" t="str">
        <f>IF(OR($A442&gt;MIN($A$10,$A$2),$A$5=""),"",INDEX(DemoHistory[],$A442,MATCH($A$5,DemoHistory[#Headers],0)))</f>
        <v/>
      </c>
      <c r="D442" s="166" t="str">
        <f>IF($A442&gt;MIN($A$10,$A$2),"",IF(AND($A$12,$A$6=1,B442&lt;$A$7,$A$7&lt;=MAX(DemoHistory[Date])),$A$8,1))</f>
        <v/>
      </c>
      <c r="E442" s="166" t="str">
        <f t="shared" si="18"/>
        <v/>
      </c>
      <c r="F442" s="166" t="str">
        <f>IF($A442&gt;MIN($A$10,$A$2),"",IF($A442&lt;50,"n.a.",IF(COUNT(INDEX(StockDaily[Adjusted close],MAX(1,$A442-50+1)):E442)=50,AVERAGE(INDEX(StockDaily[Adjusted close],MAX(1,$A442-50+1)):E442),"n.a.")))</f>
        <v/>
      </c>
      <c r="G442" s="166" t="str">
        <f>IF($A442&gt;MIN($A$10,$A$2),"",IF($A442&lt;200,"n.a.",IF(COUNT(INDEX(StockDaily[Adjusted close],MAX(1,$A442-200+1)):E442)=200,AVERAGE(INDEX(StockDaily[Adjusted close],MAX(1,$A442-200+1)):E442),"n.a.")))</f>
        <v/>
      </c>
      <c r="H442" s="136" t="str">
        <f>IF($A442&gt;MIN($A$10,$A$2),"",IF($A$5="","Choose stock",IF(NOT($A$12),"Check split rule",IF(NOT(ISNUMBER(B442)),"Invalid date",IF(OR(B442&lt;=0,B442&lt;&gt;INT(B442)),"Invalid date",IF(COUNTIFS(DemoHistory[Date],B442)&lt;&gt;1,"Duplicate date",IF(AND($A442&gt;1,B442&lt;=B441),"Dates out of order",IF(NOT(ISNUMBER(C442)),"Missing price",IF(C442&lt;=0,"Nonpositive price","OK")))))))))</f>
        <v/>
      </c>
      <c r="I442" s="136"/>
      <c r="J442" s="136"/>
      <c r="K442" s="136"/>
      <c r="L442" s="136"/>
      <c r="M442" s="136"/>
      <c r="N442" s="136" t="e">
        <f t="shared" si="19"/>
        <v>#N/A</v>
      </c>
      <c r="O442" s="136" t="e">
        <f t="shared" si="20"/>
        <v>#N/A</v>
      </c>
    </row>
    <row r="443" spans="1:15" ht="22.05" customHeight="1" x14ac:dyDescent="0.3">
      <c r="A443" s="136">
        <v>399</v>
      </c>
      <c r="B443" s="165" t="str">
        <f>IF($A443&gt;MIN($A$10,$A$2),"",INDEX(DemoHistory[Date],$A443))</f>
        <v/>
      </c>
      <c r="C443" s="166" t="str">
        <f>IF(OR($A443&gt;MIN($A$10,$A$2),$A$5=""),"",INDEX(DemoHistory[],$A443,MATCH($A$5,DemoHistory[#Headers],0)))</f>
        <v/>
      </c>
      <c r="D443" s="166" t="str">
        <f>IF($A443&gt;MIN($A$10,$A$2),"",IF(AND($A$12,$A$6=1,B443&lt;$A$7,$A$7&lt;=MAX(DemoHistory[Date])),$A$8,1))</f>
        <v/>
      </c>
      <c r="E443" s="166" t="str">
        <f t="shared" si="18"/>
        <v/>
      </c>
      <c r="F443" s="166" t="str">
        <f>IF($A443&gt;MIN($A$10,$A$2),"",IF($A443&lt;50,"n.a.",IF(COUNT(INDEX(StockDaily[Adjusted close],MAX(1,$A443-50+1)):E443)=50,AVERAGE(INDEX(StockDaily[Adjusted close],MAX(1,$A443-50+1)):E443),"n.a.")))</f>
        <v/>
      </c>
      <c r="G443" s="166" t="str">
        <f>IF($A443&gt;MIN($A$10,$A$2),"",IF($A443&lt;200,"n.a.",IF(COUNT(INDEX(StockDaily[Adjusted close],MAX(1,$A443-200+1)):E443)=200,AVERAGE(INDEX(StockDaily[Adjusted close],MAX(1,$A443-200+1)):E443),"n.a.")))</f>
        <v/>
      </c>
      <c r="H443" s="136" t="str">
        <f>IF($A443&gt;MIN($A$10,$A$2),"",IF($A$5="","Choose stock",IF(NOT($A$12),"Check split rule",IF(NOT(ISNUMBER(B443)),"Invalid date",IF(OR(B443&lt;=0,B443&lt;&gt;INT(B443)),"Invalid date",IF(COUNTIFS(DemoHistory[Date],B443)&lt;&gt;1,"Duplicate date",IF(AND($A443&gt;1,B443&lt;=B442),"Dates out of order",IF(NOT(ISNUMBER(C443)),"Missing price",IF(C443&lt;=0,"Nonpositive price","OK")))))))))</f>
        <v/>
      </c>
      <c r="I443" s="136"/>
      <c r="J443" s="136"/>
      <c r="K443" s="136"/>
      <c r="L443" s="136"/>
      <c r="M443" s="136"/>
      <c r="N443" s="136" t="e">
        <f t="shared" si="19"/>
        <v>#N/A</v>
      </c>
      <c r="O443" s="136" t="e">
        <f t="shared" si="20"/>
        <v>#N/A</v>
      </c>
    </row>
    <row r="444" spans="1:15" ht="22.05" customHeight="1" x14ac:dyDescent="0.3">
      <c r="A444" s="136">
        <v>400</v>
      </c>
      <c r="B444" s="165" t="str">
        <f>IF($A444&gt;MIN($A$10,$A$2),"",INDEX(DemoHistory[Date],$A444))</f>
        <v/>
      </c>
      <c r="C444" s="166" t="str">
        <f>IF(OR($A444&gt;MIN($A$10,$A$2),$A$5=""),"",INDEX(DemoHistory[],$A444,MATCH($A$5,DemoHistory[#Headers],0)))</f>
        <v/>
      </c>
      <c r="D444" s="166" t="str">
        <f>IF($A444&gt;MIN($A$10,$A$2),"",IF(AND($A$12,$A$6=1,B444&lt;$A$7,$A$7&lt;=MAX(DemoHistory[Date])),$A$8,1))</f>
        <v/>
      </c>
      <c r="E444" s="166" t="str">
        <f t="shared" si="18"/>
        <v/>
      </c>
      <c r="F444" s="166" t="str">
        <f>IF($A444&gt;MIN($A$10,$A$2),"",IF($A444&lt;50,"n.a.",IF(COUNT(INDEX(StockDaily[Adjusted close],MAX(1,$A444-50+1)):E444)=50,AVERAGE(INDEX(StockDaily[Adjusted close],MAX(1,$A444-50+1)):E444),"n.a.")))</f>
        <v/>
      </c>
      <c r="G444" s="166" t="str">
        <f>IF($A444&gt;MIN($A$10,$A$2),"",IF($A444&lt;200,"n.a.",IF(COUNT(INDEX(StockDaily[Adjusted close],MAX(1,$A444-200+1)):E444)=200,AVERAGE(INDEX(StockDaily[Adjusted close],MAX(1,$A444-200+1)):E444),"n.a.")))</f>
        <v/>
      </c>
      <c r="H444" s="136" t="str">
        <f>IF($A444&gt;MIN($A$10,$A$2),"",IF($A$5="","Choose stock",IF(NOT($A$12),"Check split rule",IF(NOT(ISNUMBER(B444)),"Invalid date",IF(OR(B444&lt;=0,B444&lt;&gt;INT(B444)),"Invalid date",IF(COUNTIFS(DemoHistory[Date],B444)&lt;&gt;1,"Duplicate date",IF(AND($A444&gt;1,B444&lt;=B443),"Dates out of order",IF(NOT(ISNUMBER(C444)),"Missing price",IF(C444&lt;=0,"Nonpositive price","OK")))))))))</f>
        <v/>
      </c>
      <c r="I444" s="136"/>
      <c r="J444" s="136"/>
      <c r="K444" s="136"/>
      <c r="L444" s="136"/>
      <c r="M444" s="136"/>
      <c r="N444" s="136" t="e">
        <f t="shared" si="19"/>
        <v>#N/A</v>
      </c>
      <c r="O444" s="136" t="e">
        <f t="shared" si="20"/>
        <v>#N/A</v>
      </c>
    </row>
    <row r="445" spans="1:15" ht="22.05" customHeight="1" x14ac:dyDescent="0.3">
      <c r="A445" s="136">
        <v>401</v>
      </c>
      <c r="B445" s="165" t="str">
        <f>IF($A445&gt;MIN($A$10,$A$2),"",INDEX(DemoHistory[Date],$A445))</f>
        <v/>
      </c>
      <c r="C445" s="166" t="str">
        <f>IF(OR($A445&gt;MIN($A$10,$A$2),$A$5=""),"",INDEX(DemoHistory[],$A445,MATCH($A$5,DemoHistory[#Headers],0)))</f>
        <v/>
      </c>
      <c r="D445" s="166" t="str">
        <f>IF($A445&gt;MIN($A$10,$A$2),"",IF(AND($A$12,$A$6=1,B445&lt;$A$7,$A$7&lt;=MAX(DemoHistory[Date])),$A$8,1))</f>
        <v/>
      </c>
      <c r="E445" s="166" t="str">
        <f t="shared" si="18"/>
        <v/>
      </c>
      <c r="F445" s="166" t="str">
        <f>IF($A445&gt;MIN($A$10,$A$2),"",IF($A445&lt;50,"n.a.",IF(COUNT(INDEX(StockDaily[Adjusted close],MAX(1,$A445-50+1)):E445)=50,AVERAGE(INDEX(StockDaily[Adjusted close],MAX(1,$A445-50+1)):E445),"n.a.")))</f>
        <v/>
      </c>
      <c r="G445" s="166" t="str">
        <f>IF($A445&gt;MIN($A$10,$A$2),"",IF($A445&lt;200,"n.a.",IF(COUNT(INDEX(StockDaily[Adjusted close],MAX(1,$A445-200+1)):E445)=200,AVERAGE(INDEX(StockDaily[Adjusted close],MAX(1,$A445-200+1)):E445),"n.a.")))</f>
        <v/>
      </c>
      <c r="H445" s="136" t="str">
        <f>IF($A445&gt;MIN($A$10,$A$2),"",IF($A$5="","Choose stock",IF(NOT($A$12),"Check split rule",IF(NOT(ISNUMBER(B445)),"Invalid date",IF(OR(B445&lt;=0,B445&lt;&gt;INT(B445)),"Invalid date",IF(COUNTIFS(DemoHistory[Date],B445)&lt;&gt;1,"Duplicate date",IF(AND($A445&gt;1,B445&lt;=B444),"Dates out of order",IF(NOT(ISNUMBER(C445)),"Missing price",IF(C445&lt;=0,"Nonpositive price","OK")))))))))</f>
        <v/>
      </c>
      <c r="I445" s="136"/>
      <c r="J445" s="136"/>
      <c r="K445" s="136"/>
      <c r="L445" s="136"/>
      <c r="M445" s="136"/>
      <c r="N445" s="136" t="e">
        <f t="shared" si="19"/>
        <v>#N/A</v>
      </c>
      <c r="O445" s="136" t="e">
        <f t="shared" si="20"/>
        <v>#N/A</v>
      </c>
    </row>
    <row r="446" spans="1:15" ht="22.05" customHeight="1" x14ac:dyDescent="0.3">
      <c r="A446" s="136">
        <v>402</v>
      </c>
      <c r="B446" s="165" t="str">
        <f>IF($A446&gt;MIN($A$10,$A$2),"",INDEX(DemoHistory[Date],$A446))</f>
        <v/>
      </c>
      <c r="C446" s="166" t="str">
        <f>IF(OR($A446&gt;MIN($A$10,$A$2),$A$5=""),"",INDEX(DemoHistory[],$A446,MATCH($A$5,DemoHistory[#Headers],0)))</f>
        <v/>
      </c>
      <c r="D446" s="166" t="str">
        <f>IF($A446&gt;MIN($A$10,$A$2),"",IF(AND($A$12,$A$6=1,B446&lt;$A$7,$A$7&lt;=MAX(DemoHistory[Date])),$A$8,1))</f>
        <v/>
      </c>
      <c r="E446" s="166" t="str">
        <f t="shared" si="18"/>
        <v/>
      </c>
      <c r="F446" s="166" t="str">
        <f>IF($A446&gt;MIN($A$10,$A$2),"",IF($A446&lt;50,"n.a.",IF(COUNT(INDEX(StockDaily[Adjusted close],MAX(1,$A446-50+1)):E446)=50,AVERAGE(INDEX(StockDaily[Adjusted close],MAX(1,$A446-50+1)):E446),"n.a.")))</f>
        <v/>
      </c>
      <c r="G446" s="166" t="str">
        <f>IF($A446&gt;MIN($A$10,$A$2),"",IF($A446&lt;200,"n.a.",IF(COUNT(INDEX(StockDaily[Adjusted close],MAX(1,$A446-200+1)):E446)=200,AVERAGE(INDEX(StockDaily[Adjusted close],MAX(1,$A446-200+1)):E446),"n.a.")))</f>
        <v/>
      </c>
      <c r="H446" s="136" t="str">
        <f>IF($A446&gt;MIN($A$10,$A$2),"",IF($A$5="","Choose stock",IF(NOT($A$12),"Check split rule",IF(NOT(ISNUMBER(B446)),"Invalid date",IF(OR(B446&lt;=0,B446&lt;&gt;INT(B446)),"Invalid date",IF(COUNTIFS(DemoHistory[Date],B446)&lt;&gt;1,"Duplicate date",IF(AND($A446&gt;1,B446&lt;=B445),"Dates out of order",IF(NOT(ISNUMBER(C446)),"Missing price",IF(C446&lt;=0,"Nonpositive price","OK")))))))))</f>
        <v/>
      </c>
      <c r="I446" s="136"/>
      <c r="J446" s="136"/>
      <c r="K446" s="136"/>
      <c r="L446" s="136"/>
      <c r="M446" s="136"/>
      <c r="N446" s="136" t="e">
        <f t="shared" si="19"/>
        <v>#N/A</v>
      </c>
      <c r="O446" s="136" t="e">
        <f t="shared" si="20"/>
        <v>#N/A</v>
      </c>
    </row>
    <row r="447" spans="1:15" ht="22.05" customHeight="1" x14ac:dyDescent="0.3">
      <c r="A447" s="136">
        <v>403</v>
      </c>
      <c r="B447" s="165" t="str">
        <f>IF($A447&gt;MIN($A$10,$A$2),"",INDEX(DemoHistory[Date],$A447))</f>
        <v/>
      </c>
      <c r="C447" s="166" t="str">
        <f>IF(OR($A447&gt;MIN($A$10,$A$2),$A$5=""),"",INDEX(DemoHistory[],$A447,MATCH($A$5,DemoHistory[#Headers],0)))</f>
        <v/>
      </c>
      <c r="D447" s="166" t="str">
        <f>IF($A447&gt;MIN($A$10,$A$2),"",IF(AND($A$12,$A$6=1,B447&lt;$A$7,$A$7&lt;=MAX(DemoHistory[Date])),$A$8,1))</f>
        <v/>
      </c>
      <c r="E447" s="166" t="str">
        <f t="shared" si="18"/>
        <v/>
      </c>
      <c r="F447" s="166" t="str">
        <f>IF($A447&gt;MIN($A$10,$A$2),"",IF($A447&lt;50,"n.a.",IF(COUNT(INDEX(StockDaily[Adjusted close],MAX(1,$A447-50+1)):E447)=50,AVERAGE(INDEX(StockDaily[Adjusted close],MAX(1,$A447-50+1)):E447),"n.a.")))</f>
        <v/>
      </c>
      <c r="G447" s="166" t="str">
        <f>IF($A447&gt;MIN($A$10,$A$2),"",IF($A447&lt;200,"n.a.",IF(COUNT(INDEX(StockDaily[Adjusted close],MAX(1,$A447-200+1)):E447)=200,AVERAGE(INDEX(StockDaily[Adjusted close],MAX(1,$A447-200+1)):E447),"n.a.")))</f>
        <v/>
      </c>
      <c r="H447" s="136" t="str">
        <f>IF($A447&gt;MIN($A$10,$A$2),"",IF($A$5="","Choose stock",IF(NOT($A$12),"Check split rule",IF(NOT(ISNUMBER(B447)),"Invalid date",IF(OR(B447&lt;=0,B447&lt;&gt;INT(B447)),"Invalid date",IF(COUNTIFS(DemoHistory[Date],B447)&lt;&gt;1,"Duplicate date",IF(AND($A447&gt;1,B447&lt;=B446),"Dates out of order",IF(NOT(ISNUMBER(C447)),"Missing price",IF(C447&lt;=0,"Nonpositive price","OK")))))))))</f>
        <v/>
      </c>
      <c r="I447" s="136"/>
      <c r="J447" s="136"/>
      <c r="K447" s="136"/>
      <c r="L447" s="136"/>
      <c r="M447" s="136"/>
      <c r="N447" s="136" t="e">
        <f t="shared" si="19"/>
        <v>#N/A</v>
      </c>
      <c r="O447" s="136" t="e">
        <f t="shared" si="20"/>
        <v>#N/A</v>
      </c>
    </row>
    <row r="448" spans="1:15" ht="22.05" customHeight="1" x14ac:dyDescent="0.3">
      <c r="A448" s="136">
        <v>404</v>
      </c>
      <c r="B448" s="165" t="str">
        <f>IF($A448&gt;MIN($A$10,$A$2),"",INDEX(DemoHistory[Date],$A448))</f>
        <v/>
      </c>
      <c r="C448" s="166" t="str">
        <f>IF(OR($A448&gt;MIN($A$10,$A$2),$A$5=""),"",INDEX(DemoHistory[],$A448,MATCH($A$5,DemoHistory[#Headers],0)))</f>
        <v/>
      </c>
      <c r="D448" s="166" t="str">
        <f>IF($A448&gt;MIN($A$10,$A$2),"",IF(AND($A$12,$A$6=1,B448&lt;$A$7,$A$7&lt;=MAX(DemoHistory[Date])),$A$8,1))</f>
        <v/>
      </c>
      <c r="E448" s="166" t="str">
        <f t="shared" si="18"/>
        <v/>
      </c>
      <c r="F448" s="166" t="str">
        <f>IF($A448&gt;MIN($A$10,$A$2),"",IF($A448&lt;50,"n.a.",IF(COUNT(INDEX(StockDaily[Adjusted close],MAX(1,$A448-50+1)):E448)=50,AVERAGE(INDEX(StockDaily[Adjusted close],MAX(1,$A448-50+1)):E448),"n.a.")))</f>
        <v/>
      </c>
      <c r="G448" s="166" t="str">
        <f>IF($A448&gt;MIN($A$10,$A$2),"",IF($A448&lt;200,"n.a.",IF(COUNT(INDEX(StockDaily[Adjusted close],MAX(1,$A448-200+1)):E448)=200,AVERAGE(INDEX(StockDaily[Adjusted close],MAX(1,$A448-200+1)):E448),"n.a.")))</f>
        <v/>
      </c>
      <c r="H448" s="136" t="str">
        <f>IF($A448&gt;MIN($A$10,$A$2),"",IF($A$5="","Choose stock",IF(NOT($A$12),"Check split rule",IF(NOT(ISNUMBER(B448)),"Invalid date",IF(OR(B448&lt;=0,B448&lt;&gt;INT(B448)),"Invalid date",IF(COUNTIFS(DemoHistory[Date],B448)&lt;&gt;1,"Duplicate date",IF(AND($A448&gt;1,B448&lt;=B447),"Dates out of order",IF(NOT(ISNUMBER(C448)),"Missing price",IF(C448&lt;=0,"Nonpositive price","OK")))))))))</f>
        <v/>
      </c>
      <c r="I448" s="136"/>
      <c r="J448" s="136"/>
      <c r="K448" s="136"/>
      <c r="L448" s="136"/>
      <c r="M448" s="136"/>
      <c r="N448" s="136" t="e">
        <f t="shared" si="19"/>
        <v>#N/A</v>
      </c>
      <c r="O448" s="136" t="e">
        <f t="shared" si="20"/>
        <v>#N/A</v>
      </c>
    </row>
    <row r="449" spans="1:15" ht="22.05" customHeight="1" x14ac:dyDescent="0.3">
      <c r="A449" s="136">
        <v>405</v>
      </c>
      <c r="B449" s="165" t="str">
        <f>IF($A449&gt;MIN($A$10,$A$2),"",INDEX(DemoHistory[Date],$A449))</f>
        <v/>
      </c>
      <c r="C449" s="166" t="str">
        <f>IF(OR($A449&gt;MIN($A$10,$A$2),$A$5=""),"",INDEX(DemoHistory[],$A449,MATCH($A$5,DemoHistory[#Headers],0)))</f>
        <v/>
      </c>
      <c r="D449" s="166" t="str">
        <f>IF($A449&gt;MIN($A$10,$A$2),"",IF(AND($A$12,$A$6=1,B449&lt;$A$7,$A$7&lt;=MAX(DemoHistory[Date])),$A$8,1))</f>
        <v/>
      </c>
      <c r="E449" s="166" t="str">
        <f t="shared" si="18"/>
        <v/>
      </c>
      <c r="F449" s="166" t="str">
        <f>IF($A449&gt;MIN($A$10,$A$2),"",IF($A449&lt;50,"n.a.",IF(COUNT(INDEX(StockDaily[Adjusted close],MAX(1,$A449-50+1)):E449)=50,AVERAGE(INDEX(StockDaily[Adjusted close],MAX(1,$A449-50+1)):E449),"n.a.")))</f>
        <v/>
      </c>
      <c r="G449" s="166" t="str">
        <f>IF($A449&gt;MIN($A$10,$A$2),"",IF($A449&lt;200,"n.a.",IF(COUNT(INDEX(StockDaily[Adjusted close],MAX(1,$A449-200+1)):E449)=200,AVERAGE(INDEX(StockDaily[Adjusted close],MAX(1,$A449-200+1)):E449),"n.a.")))</f>
        <v/>
      </c>
      <c r="H449" s="136" t="str">
        <f>IF($A449&gt;MIN($A$10,$A$2),"",IF($A$5="","Choose stock",IF(NOT($A$12),"Check split rule",IF(NOT(ISNUMBER(B449)),"Invalid date",IF(OR(B449&lt;=0,B449&lt;&gt;INT(B449)),"Invalid date",IF(COUNTIFS(DemoHistory[Date],B449)&lt;&gt;1,"Duplicate date",IF(AND($A449&gt;1,B449&lt;=B448),"Dates out of order",IF(NOT(ISNUMBER(C449)),"Missing price",IF(C449&lt;=0,"Nonpositive price","OK")))))))))</f>
        <v/>
      </c>
      <c r="I449" s="136"/>
      <c r="J449" s="136"/>
      <c r="K449" s="136"/>
      <c r="L449" s="136"/>
      <c r="M449" s="136"/>
      <c r="N449" s="136" t="e">
        <f t="shared" si="19"/>
        <v>#N/A</v>
      </c>
      <c r="O449" s="136" t="e">
        <f t="shared" si="20"/>
        <v>#N/A</v>
      </c>
    </row>
    <row r="450" spans="1:15" ht="22.05" customHeight="1" x14ac:dyDescent="0.3">
      <c r="A450" s="136">
        <v>406</v>
      </c>
      <c r="B450" s="165" t="str">
        <f>IF($A450&gt;MIN($A$10,$A$2),"",INDEX(DemoHistory[Date],$A450))</f>
        <v/>
      </c>
      <c r="C450" s="166" t="str">
        <f>IF(OR($A450&gt;MIN($A$10,$A$2),$A$5=""),"",INDEX(DemoHistory[],$A450,MATCH($A$5,DemoHistory[#Headers],0)))</f>
        <v/>
      </c>
      <c r="D450" s="166" t="str">
        <f>IF($A450&gt;MIN($A$10,$A$2),"",IF(AND($A$12,$A$6=1,B450&lt;$A$7,$A$7&lt;=MAX(DemoHistory[Date])),$A$8,1))</f>
        <v/>
      </c>
      <c r="E450" s="166" t="str">
        <f t="shared" si="18"/>
        <v/>
      </c>
      <c r="F450" s="166" t="str">
        <f>IF($A450&gt;MIN($A$10,$A$2),"",IF($A450&lt;50,"n.a.",IF(COUNT(INDEX(StockDaily[Adjusted close],MAX(1,$A450-50+1)):E450)=50,AVERAGE(INDEX(StockDaily[Adjusted close],MAX(1,$A450-50+1)):E450),"n.a.")))</f>
        <v/>
      </c>
      <c r="G450" s="166" t="str">
        <f>IF($A450&gt;MIN($A$10,$A$2),"",IF($A450&lt;200,"n.a.",IF(COUNT(INDEX(StockDaily[Adjusted close],MAX(1,$A450-200+1)):E450)=200,AVERAGE(INDEX(StockDaily[Adjusted close],MAX(1,$A450-200+1)):E450),"n.a.")))</f>
        <v/>
      </c>
      <c r="H450" s="136" t="str">
        <f>IF($A450&gt;MIN($A$10,$A$2),"",IF($A$5="","Choose stock",IF(NOT($A$12),"Check split rule",IF(NOT(ISNUMBER(B450)),"Invalid date",IF(OR(B450&lt;=0,B450&lt;&gt;INT(B450)),"Invalid date",IF(COUNTIFS(DemoHistory[Date],B450)&lt;&gt;1,"Duplicate date",IF(AND($A450&gt;1,B450&lt;=B449),"Dates out of order",IF(NOT(ISNUMBER(C450)),"Missing price",IF(C450&lt;=0,"Nonpositive price","OK")))))))))</f>
        <v/>
      </c>
      <c r="I450" s="136"/>
      <c r="J450" s="136"/>
      <c r="K450" s="136"/>
      <c r="L450" s="136"/>
      <c r="M450" s="136"/>
      <c r="N450" s="136" t="e">
        <f t="shared" si="19"/>
        <v>#N/A</v>
      </c>
      <c r="O450" s="136" t="e">
        <f t="shared" si="20"/>
        <v>#N/A</v>
      </c>
    </row>
    <row r="451" spans="1:15" ht="22.05" customHeight="1" x14ac:dyDescent="0.3">
      <c r="A451" s="136">
        <v>407</v>
      </c>
      <c r="B451" s="165" t="str">
        <f>IF($A451&gt;MIN($A$10,$A$2),"",INDEX(DemoHistory[Date],$A451))</f>
        <v/>
      </c>
      <c r="C451" s="166" t="str">
        <f>IF(OR($A451&gt;MIN($A$10,$A$2),$A$5=""),"",INDEX(DemoHistory[],$A451,MATCH($A$5,DemoHistory[#Headers],0)))</f>
        <v/>
      </c>
      <c r="D451" s="166" t="str">
        <f>IF($A451&gt;MIN($A$10,$A$2),"",IF(AND($A$12,$A$6=1,B451&lt;$A$7,$A$7&lt;=MAX(DemoHistory[Date])),$A$8,1))</f>
        <v/>
      </c>
      <c r="E451" s="166" t="str">
        <f t="shared" si="18"/>
        <v/>
      </c>
      <c r="F451" s="166" t="str">
        <f>IF($A451&gt;MIN($A$10,$A$2),"",IF($A451&lt;50,"n.a.",IF(COUNT(INDEX(StockDaily[Adjusted close],MAX(1,$A451-50+1)):E451)=50,AVERAGE(INDEX(StockDaily[Adjusted close],MAX(1,$A451-50+1)):E451),"n.a.")))</f>
        <v/>
      </c>
      <c r="G451" s="166" t="str">
        <f>IF($A451&gt;MIN($A$10,$A$2),"",IF($A451&lt;200,"n.a.",IF(COUNT(INDEX(StockDaily[Adjusted close],MAX(1,$A451-200+1)):E451)=200,AVERAGE(INDEX(StockDaily[Adjusted close],MAX(1,$A451-200+1)):E451),"n.a.")))</f>
        <v/>
      </c>
      <c r="H451" s="136" t="str">
        <f>IF($A451&gt;MIN($A$10,$A$2),"",IF($A$5="","Choose stock",IF(NOT($A$12),"Check split rule",IF(NOT(ISNUMBER(B451)),"Invalid date",IF(OR(B451&lt;=0,B451&lt;&gt;INT(B451)),"Invalid date",IF(COUNTIFS(DemoHistory[Date],B451)&lt;&gt;1,"Duplicate date",IF(AND($A451&gt;1,B451&lt;=B450),"Dates out of order",IF(NOT(ISNUMBER(C451)),"Missing price",IF(C451&lt;=0,"Nonpositive price","OK")))))))))</f>
        <v/>
      </c>
      <c r="I451" s="136"/>
      <c r="J451" s="136"/>
      <c r="K451" s="136"/>
      <c r="L451" s="136"/>
      <c r="M451" s="136"/>
      <c r="N451" s="136" t="e">
        <f t="shared" si="19"/>
        <v>#N/A</v>
      </c>
      <c r="O451" s="136" t="e">
        <f t="shared" si="20"/>
        <v>#N/A</v>
      </c>
    </row>
    <row r="452" spans="1:15" ht="22.05" customHeight="1" x14ac:dyDescent="0.3">
      <c r="A452" s="136">
        <v>408</v>
      </c>
      <c r="B452" s="165" t="str">
        <f>IF($A452&gt;MIN($A$10,$A$2),"",INDEX(DemoHistory[Date],$A452))</f>
        <v/>
      </c>
      <c r="C452" s="166" t="str">
        <f>IF(OR($A452&gt;MIN($A$10,$A$2),$A$5=""),"",INDEX(DemoHistory[],$A452,MATCH($A$5,DemoHistory[#Headers],0)))</f>
        <v/>
      </c>
      <c r="D452" s="166" t="str">
        <f>IF($A452&gt;MIN($A$10,$A$2),"",IF(AND($A$12,$A$6=1,B452&lt;$A$7,$A$7&lt;=MAX(DemoHistory[Date])),$A$8,1))</f>
        <v/>
      </c>
      <c r="E452" s="166" t="str">
        <f t="shared" si="18"/>
        <v/>
      </c>
      <c r="F452" s="166" t="str">
        <f>IF($A452&gt;MIN($A$10,$A$2),"",IF($A452&lt;50,"n.a.",IF(COUNT(INDEX(StockDaily[Adjusted close],MAX(1,$A452-50+1)):E452)=50,AVERAGE(INDEX(StockDaily[Adjusted close],MAX(1,$A452-50+1)):E452),"n.a.")))</f>
        <v/>
      </c>
      <c r="G452" s="166" t="str">
        <f>IF($A452&gt;MIN($A$10,$A$2),"",IF($A452&lt;200,"n.a.",IF(COUNT(INDEX(StockDaily[Adjusted close],MAX(1,$A452-200+1)):E452)=200,AVERAGE(INDEX(StockDaily[Adjusted close],MAX(1,$A452-200+1)):E452),"n.a.")))</f>
        <v/>
      </c>
      <c r="H452" s="136" t="str">
        <f>IF($A452&gt;MIN($A$10,$A$2),"",IF($A$5="","Choose stock",IF(NOT($A$12),"Check split rule",IF(NOT(ISNUMBER(B452)),"Invalid date",IF(OR(B452&lt;=0,B452&lt;&gt;INT(B452)),"Invalid date",IF(COUNTIFS(DemoHistory[Date],B452)&lt;&gt;1,"Duplicate date",IF(AND($A452&gt;1,B452&lt;=B451),"Dates out of order",IF(NOT(ISNUMBER(C452)),"Missing price",IF(C452&lt;=0,"Nonpositive price","OK")))))))))</f>
        <v/>
      </c>
      <c r="I452" s="136"/>
      <c r="J452" s="136"/>
      <c r="K452" s="136"/>
      <c r="L452" s="136"/>
      <c r="M452" s="136"/>
      <c r="N452" s="136" t="e">
        <f t="shared" si="19"/>
        <v>#N/A</v>
      </c>
      <c r="O452" s="136" t="e">
        <f t="shared" si="20"/>
        <v>#N/A</v>
      </c>
    </row>
    <row r="453" spans="1:15" ht="22.05" customHeight="1" x14ac:dyDescent="0.3">
      <c r="A453" s="136">
        <v>409</v>
      </c>
      <c r="B453" s="165" t="str">
        <f>IF($A453&gt;MIN($A$10,$A$2),"",INDEX(DemoHistory[Date],$A453))</f>
        <v/>
      </c>
      <c r="C453" s="166" t="str">
        <f>IF(OR($A453&gt;MIN($A$10,$A$2),$A$5=""),"",INDEX(DemoHistory[],$A453,MATCH($A$5,DemoHistory[#Headers],0)))</f>
        <v/>
      </c>
      <c r="D453" s="166" t="str">
        <f>IF($A453&gt;MIN($A$10,$A$2),"",IF(AND($A$12,$A$6=1,B453&lt;$A$7,$A$7&lt;=MAX(DemoHistory[Date])),$A$8,1))</f>
        <v/>
      </c>
      <c r="E453" s="166" t="str">
        <f t="shared" si="18"/>
        <v/>
      </c>
      <c r="F453" s="166" t="str">
        <f>IF($A453&gt;MIN($A$10,$A$2),"",IF($A453&lt;50,"n.a.",IF(COUNT(INDEX(StockDaily[Adjusted close],MAX(1,$A453-50+1)):E453)=50,AVERAGE(INDEX(StockDaily[Adjusted close],MAX(1,$A453-50+1)):E453),"n.a.")))</f>
        <v/>
      </c>
      <c r="G453" s="166" t="str">
        <f>IF($A453&gt;MIN($A$10,$A$2),"",IF($A453&lt;200,"n.a.",IF(COUNT(INDEX(StockDaily[Adjusted close],MAX(1,$A453-200+1)):E453)=200,AVERAGE(INDEX(StockDaily[Adjusted close],MAX(1,$A453-200+1)):E453),"n.a.")))</f>
        <v/>
      </c>
      <c r="H453" s="136" t="str">
        <f>IF($A453&gt;MIN($A$10,$A$2),"",IF($A$5="","Choose stock",IF(NOT($A$12),"Check split rule",IF(NOT(ISNUMBER(B453)),"Invalid date",IF(OR(B453&lt;=0,B453&lt;&gt;INT(B453)),"Invalid date",IF(COUNTIFS(DemoHistory[Date],B453)&lt;&gt;1,"Duplicate date",IF(AND($A453&gt;1,B453&lt;=B452),"Dates out of order",IF(NOT(ISNUMBER(C453)),"Missing price",IF(C453&lt;=0,"Nonpositive price","OK")))))))))</f>
        <v/>
      </c>
      <c r="I453" s="136"/>
      <c r="J453" s="136"/>
      <c r="K453" s="136"/>
      <c r="L453" s="136"/>
      <c r="M453" s="136"/>
      <c r="N453" s="136" t="e">
        <f t="shared" si="19"/>
        <v>#N/A</v>
      </c>
      <c r="O453" s="136" t="e">
        <f t="shared" si="20"/>
        <v>#N/A</v>
      </c>
    </row>
    <row r="454" spans="1:15" ht="22.05" customHeight="1" x14ac:dyDescent="0.3">
      <c r="A454" s="136">
        <v>410</v>
      </c>
      <c r="B454" s="165" t="str">
        <f>IF($A454&gt;MIN($A$10,$A$2),"",INDEX(DemoHistory[Date],$A454))</f>
        <v/>
      </c>
      <c r="C454" s="166" t="str">
        <f>IF(OR($A454&gt;MIN($A$10,$A$2),$A$5=""),"",INDEX(DemoHistory[],$A454,MATCH($A$5,DemoHistory[#Headers],0)))</f>
        <v/>
      </c>
      <c r="D454" s="166" t="str">
        <f>IF($A454&gt;MIN($A$10,$A$2),"",IF(AND($A$12,$A$6=1,B454&lt;$A$7,$A$7&lt;=MAX(DemoHistory[Date])),$A$8,1))</f>
        <v/>
      </c>
      <c r="E454" s="166" t="str">
        <f t="shared" si="18"/>
        <v/>
      </c>
      <c r="F454" s="166" t="str">
        <f>IF($A454&gt;MIN($A$10,$A$2),"",IF($A454&lt;50,"n.a.",IF(COUNT(INDEX(StockDaily[Adjusted close],MAX(1,$A454-50+1)):E454)=50,AVERAGE(INDEX(StockDaily[Adjusted close],MAX(1,$A454-50+1)):E454),"n.a.")))</f>
        <v/>
      </c>
      <c r="G454" s="166" t="str">
        <f>IF($A454&gt;MIN($A$10,$A$2),"",IF($A454&lt;200,"n.a.",IF(COUNT(INDEX(StockDaily[Adjusted close],MAX(1,$A454-200+1)):E454)=200,AVERAGE(INDEX(StockDaily[Adjusted close],MAX(1,$A454-200+1)):E454),"n.a.")))</f>
        <v/>
      </c>
      <c r="H454" s="136" t="str">
        <f>IF($A454&gt;MIN($A$10,$A$2),"",IF($A$5="","Choose stock",IF(NOT($A$12),"Check split rule",IF(NOT(ISNUMBER(B454)),"Invalid date",IF(OR(B454&lt;=0,B454&lt;&gt;INT(B454)),"Invalid date",IF(COUNTIFS(DemoHistory[Date],B454)&lt;&gt;1,"Duplicate date",IF(AND($A454&gt;1,B454&lt;=B453),"Dates out of order",IF(NOT(ISNUMBER(C454)),"Missing price",IF(C454&lt;=0,"Nonpositive price","OK")))))))))</f>
        <v/>
      </c>
      <c r="I454" s="136"/>
      <c r="J454" s="136"/>
      <c r="K454" s="136"/>
      <c r="L454" s="136"/>
      <c r="M454" s="136"/>
      <c r="N454" s="136" t="e">
        <f t="shared" si="19"/>
        <v>#N/A</v>
      </c>
      <c r="O454" s="136" t="e">
        <f t="shared" si="20"/>
        <v>#N/A</v>
      </c>
    </row>
    <row r="455" spans="1:15" ht="22.05" customHeight="1" x14ac:dyDescent="0.3">
      <c r="A455" s="136">
        <v>411</v>
      </c>
      <c r="B455" s="165" t="str">
        <f>IF($A455&gt;MIN($A$10,$A$2),"",INDEX(DemoHistory[Date],$A455))</f>
        <v/>
      </c>
      <c r="C455" s="166" t="str">
        <f>IF(OR($A455&gt;MIN($A$10,$A$2),$A$5=""),"",INDEX(DemoHistory[],$A455,MATCH($A$5,DemoHistory[#Headers],0)))</f>
        <v/>
      </c>
      <c r="D455" s="166" t="str">
        <f>IF($A455&gt;MIN($A$10,$A$2),"",IF(AND($A$12,$A$6=1,B455&lt;$A$7,$A$7&lt;=MAX(DemoHistory[Date])),$A$8,1))</f>
        <v/>
      </c>
      <c r="E455" s="166" t="str">
        <f t="shared" si="18"/>
        <v/>
      </c>
      <c r="F455" s="166" t="str">
        <f>IF($A455&gt;MIN($A$10,$A$2),"",IF($A455&lt;50,"n.a.",IF(COUNT(INDEX(StockDaily[Adjusted close],MAX(1,$A455-50+1)):E455)=50,AVERAGE(INDEX(StockDaily[Adjusted close],MAX(1,$A455-50+1)):E455),"n.a.")))</f>
        <v/>
      </c>
      <c r="G455" s="166" t="str">
        <f>IF($A455&gt;MIN($A$10,$A$2),"",IF($A455&lt;200,"n.a.",IF(COUNT(INDEX(StockDaily[Adjusted close],MAX(1,$A455-200+1)):E455)=200,AVERAGE(INDEX(StockDaily[Adjusted close],MAX(1,$A455-200+1)):E455),"n.a.")))</f>
        <v/>
      </c>
      <c r="H455" s="136" t="str">
        <f>IF($A455&gt;MIN($A$10,$A$2),"",IF($A$5="","Choose stock",IF(NOT($A$12),"Check split rule",IF(NOT(ISNUMBER(B455)),"Invalid date",IF(OR(B455&lt;=0,B455&lt;&gt;INT(B455)),"Invalid date",IF(COUNTIFS(DemoHistory[Date],B455)&lt;&gt;1,"Duplicate date",IF(AND($A455&gt;1,B455&lt;=B454),"Dates out of order",IF(NOT(ISNUMBER(C455)),"Missing price",IF(C455&lt;=0,"Nonpositive price","OK")))))))))</f>
        <v/>
      </c>
      <c r="I455" s="136"/>
      <c r="J455" s="136"/>
      <c r="K455" s="136"/>
      <c r="L455" s="136"/>
      <c r="M455" s="136"/>
      <c r="N455" s="136" t="e">
        <f t="shared" si="19"/>
        <v>#N/A</v>
      </c>
      <c r="O455" s="136" t="e">
        <f t="shared" si="20"/>
        <v>#N/A</v>
      </c>
    </row>
    <row r="456" spans="1:15" ht="22.05" customHeight="1" x14ac:dyDescent="0.3">
      <c r="A456" s="136">
        <v>412</v>
      </c>
      <c r="B456" s="165" t="str">
        <f>IF($A456&gt;MIN($A$10,$A$2),"",INDEX(DemoHistory[Date],$A456))</f>
        <v/>
      </c>
      <c r="C456" s="166" t="str">
        <f>IF(OR($A456&gt;MIN($A$10,$A$2),$A$5=""),"",INDEX(DemoHistory[],$A456,MATCH($A$5,DemoHistory[#Headers],0)))</f>
        <v/>
      </c>
      <c r="D456" s="166" t="str">
        <f>IF($A456&gt;MIN($A$10,$A$2),"",IF(AND($A$12,$A$6=1,B456&lt;$A$7,$A$7&lt;=MAX(DemoHistory[Date])),$A$8,1))</f>
        <v/>
      </c>
      <c r="E456" s="166" t="str">
        <f t="shared" si="18"/>
        <v/>
      </c>
      <c r="F456" s="166" t="str">
        <f>IF($A456&gt;MIN($A$10,$A$2),"",IF($A456&lt;50,"n.a.",IF(COUNT(INDEX(StockDaily[Adjusted close],MAX(1,$A456-50+1)):E456)=50,AVERAGE(INDEX(StockDaily[Adjusted close],MAX(1,$A456-50+1)):E456),"n.a.")))</f>
        <v/>
      </c>
      <c r="G456" s="166" t="str">
        <f>IF($A456&gt;MIN($A$10,$A$2),"",IF($A456&lt;200,"n.a.",IF(COUNT(INDEX(StockDaily[Adjusted close],MAX(1,$A456-200+1)):E456)=200,AVERAGE(INDEX(StockDaily[Adjusted close],MAX(1,$A456-200+1)):E456),"n.a.")))</f>
        <v/>
      </c>
      <c r="H456" s="136" t="str">
        <f>IF($A456&gt;MIN($A$10,$A$2),"",IF($A$5="","Choose stock",IF(NOT($A$12),"Check split rule",IF(NOT(ISNUMBER(B456)),"Invalid date",IF(OR(B456&lt;=0,B456&lt;&gt;INT(B456)),"Invalid date",IF(COUNTIFS(DemoHistory[Date],B456)&lt;&gt;1,"Duplicate date",IF(AND($A456&gt;1,B456&lt;=B455),"Dates out of order",IF(NOT(ISNUMBER(C456)),"Missing price",IF(C456&lt;=0,"Nonpositive price","OK")))))))))</f>
        <v/>
      </c>
      <c r="I456" s="136"/>
      <c r="J456" s="136"/>
      <c r="K456" s="136"/>
      <c r="L456" s="136"/>
      <c r="M456" s="136"/>
      <c r="N456" s="136" t="e">
        <f t="shared" si="19"/>
        <v>#N/A</v>
      </c>
      <c r="O456" s="136" t="e">
        <f t="shared" si="20"/>
        <v>#N/A</v>
      </c>
    </row>
    <row r="457" spans="1:15" ht="22.05" customHeight="1" x14ac:dyDescent="0.3">
      <c r="A457" s="136">
        <v>413</v>
      </c>
      <c r="B457" s="165" t="str">
        <f>IF($A457&gt;MIN($A$10,$A$2),"",INDEX(DemoHistory[Date],$A457))</f>
        <v/>
      </c>
      <c r="C457" s="166" t="str">
        <f>IF(OR($A457&gt;MIN($A$10,$A$2),$A$5=""),"",INDEX(DemoHistory[],$A457,MATCH($A$5,DemoHistory[#Headers],0)))</f>
        <v/>
      </c>
      <c r="D457" s="166" t="str">
        <f>IF($A457&gt;MIN($A$10,$A$2),"",IF(AND($A$12,$A$6=1,B457&lt;$A$7,$A$7&lt;=MAX(DemoHistory[Date])),$A$8,1))</f>
        <v/>
      </c>
      <c r="E457" s="166" t="str">
        <f t="shared" si="18"/>
        <v/>
      </c>
      <c r="F457" s="166" t="str">
        <f>IF($A457&gt;MIN($A$10,$A$2),"",IF($A457&lt;50,"n.a.",IF(COUNT(INDEX(StockDaily[Adjusted close],MAX(1,$A457-50+1)):E457)=50,AVERAGE(INDEX(StockDaily[Adjusted close],MAX(1,$A457-50+1)):E457),"n.a.")))</f>
        <v/>
      </c>
      <c r="G457" s="166" t="str">
        <f>IF($A457&gt;MIN($A$10,$A$2),"",IF($A457&lt;200,"n.a.",IF(COUNT(INDEX(StockDaily[Adjusted close],MAX(1,$A457-200+1)):E457)=200,AVERAGE(INDEX(StockDaily[Adjusted close],MAX(1,$A457-200+1)):E457),"n.a.")))</f>
        <v/>
      </c>
      <c r="H457" s="136" t="str">
        <f>IF($A457&gt;MIN($A$10,$A$2),"",IF($A$5="","Choose stock",IF(NOT($A$12),"Check split rule",IF(NOT(ISNUMBER(B457)),"Invalid date",IF(OR(B457&lt;=0,B457&lt;&gt;INT(B457)),"Invalid date",IF(COUNTIFS(DemoHistory[Date],B457)&lt;&gt;1,"Duplicate date",IF(AND($A457&gt;1,B457&lt;=B456),"Dates out of order",IF(NOT(ISNUMBER(C457)),"Missing price",IF(C457&lt;=0,"Nonpositive price","OK")))))))))</f>
        <v/>
      </c>
      <c r="I457" s="136"/>
      <c r="J457" s="136"/>
      <c r="K457" s="136"/>
      <c r="L457" s="136"/>
      <c r="M457" s="136"/>
      <c r="N457" s="136" t="e">
        <f t="shared" si="19"/>
        <v>#N/A</v>
      </c>
      <c r="O457" s="136" t="e">
        <f t="shared" si="20"/>
        <v>#N/A</v>
      </c>
    </row>
    <row r="458" spans="1:15" ht="22.05" customHeight="1" x14ac:dyDescent="0.3">
      <c r="A458" s="136">
        <v>414</v>
      </c>
      <c r="B458" s="165" t="str">
        <f>IF($A458&gt;MIN($A$10,$A$2),"",INDEX(DemoHistory[Date],$A458))</f>
        <v/>
      </c>
      <c r="C458" s="166" t="str">
        <f>IF(OR($A458&gt;MIN($A$10,$A$2),$A$5=""),"",INDEX(DemoHistory[],$A458,MATCH($A$5,DemoHistory[#Headers],0)))</f>
        <v/>
      </c>
      <c r="D458" s="166" t="str">
        <f>IF($A458&gt;MIN($A$10,$A$2),"",IF(AND($A$12,$A$6=1,B458&lt;$A$7,$A$7&lt;=MAX(DemoHistory[Date])),$A$8,1))</f>
        <v/>
      </c>
      <c r="E458" s="166" t="str">
        <f t="shared" si="18"/>
        <v/>
      </c>
      <c r="F458" s="166" t="str">
        <f>IF($A458&gt;MIN($A$10,$A$2),"",IF($A458&lt;50,"n.a.",IF(COUNT(INDEX(StockDaily[Adjusted close],MAX(1,$A458-50+1)):E458)=50,AVERAGE(INDEX(StockDaily[Adjusted close],MAX(1,$A458-50+1)):E458),"n.a.")))</f>
        <v/>
      </c>
      <c r="G458" s="166" t="str">
        <f>IF($A458&gt;MIN($A$10,$A$2),"",IF($A458&lt;200,"n.a.",IF(COUNT(INDEX(StockDaily[Adjusted close],MAX(1,$A458-200+1)):E458)=200,AVERAGE(INDEX(StockDaily[Adjusted close],MAX(1,$A458-200+1)):E458),"n.a.")))</f>
        <v/>
      </c>
      <c r="H458" s="136" t="str">
        <f>IF($A458&gt;MIN($A$10,$A$2),"",IF($A$5="","Choose stock",IF(NOT($A$12),"Check split rule",IF(NOT(ISNUMBER(B458)),"Invalid date",IF(OR(B458&lt;=0,B458&lt;&gt;INT(B458)),"Invalid date",IF(COUNTIFS(DemoHistory[Date],B458)&lt;&gt;1,"Duplicate date",IF(AND($A458&gt;1,B458&lt;=B457),"Dates out of order",IF(NOT(ISNUMBER(C458)),"Missing price",IF(C458&lt;=0,"Nonpositive price","OK")))))))))</f>
        <v/>
      </c>
      <c r="I458" s="136"/>
      <c r="J458" s="136"/>
      <c r="K458" s="136"/>
      <c r="L458" s="136"/>
      <c r="M458" s="136"/>
      <c r="N458" s="136" t="e">
        <f t="shared" si="19"/>
        <v>#N/A</v>
      </c>
      <c r="O458" s="136" t="e">
        <f t="shared" si="20"/>
        <v>#N/A</v>
      </c>
    </row>
    <row r="459" spans="1:15" ht="22.05" customHeight="1" x14ac:dyDescent="0.3">
      <c r="A459" s="136">
        <v>415</v>
      </c>
      <c r="B459" s="165" t="str">
        <f>IF($A459&gt;MIN($A$10,$A$2),"",INDEX(DemoHistory[Date],$A459))</f>
        <v/>
      </c>
      <c r="C459" s="166" t="str">
        <f>IF(OR($A459&gt;MIN($A$10,$A$2),$A$5=""),"",INDEX(DemoHistory[],$A459,MATCH($A$5,DemoHistory[#Headers],0)))</f>
        <v/>
      </c>
      <c r="D459" s="166" t="str">
        <f>IF($A459&gt;MIN($A$10,$A$2),"",IF(AND($A$12,$A$6=1,B459&lt;$A$7,$A$7&lt;=MAX(DemoHistory[Date])),$A$8,1))</f>
        <v/>
      </c>
      <c r="E459" s="166" t="str">
        <f t="shared" si="18"/>
        <v/>
      </c>
      <c r="F459" s="166" t="str">
        <f>IF($A459&gt;MIN($A$10,$A$2),"",IF($A459&lt;50,"n.a.",IF(COUNT(INDEX(StockDaily[Adjusted close],MAX(1,$A459-50+1)):E459)=50,AVERAGE(INDEX(StockDaily[Adjusted close],MAX(1,$A459-50+1)):E459),"n.a.")))</f>
        <v/>
      </c>
      <c r="G459" s="166" t="str">
        <f>IF($A459&gt;MIN($A$10,$A$2),"",IF($A459&lt;200,"n.a.",IF(COUNT(INDEX(StockDaily[Adjusted close],MAX(1,$A459-200+1)):E459)=200,AVERAGE(INDEX(StockDaily[Adjusted close],MAX(1,$A459-200+1)):E459),"n.a.")))</f>
        <v/>
      </c>
      <c r="H459" s="136" t="str">
        <f>IF($A459&gt;MIN($A$10,$A$2),"",IF($A$5="","Choose stock",IF(NOT($A$12),"Check split rule",IF(NOT(ISNUMBER(B459)),"Invalid date",IF(OR(B459&lt;=0,B459&lt;&gt;INT(B459)),"Invalid date",IF(COUNTIFS(DemoHistory[Date],B459)&lt;&gt;1,"Duplicate date",IF(AND($A459&gt;1,B459&lt;=B458),"Dates out of order",IF(NOT(ISNUMBER(C459)),"Missing price",IF(C459&lt;=0,"Nonpositive price","OK")))))))))</f>
        <v/>
      </c>
      <c r="I459" s="136"/>
      <c r="J459" s="136"/>
      <c r="K459" s="136"/>
      <c r="L459" s="136"/>
      <c r="M459" s="136"/>
      <c r="N459" s="136" t="e">
        <f t="shared" si="19"/>
        <v>#N/A</v>
      </c>
      <c r="O459" s="136" t="e">
        <f t="shared" si="20"/>
        <v>#N/A</v>
      </c>
    </row>
    <row r="460" spans="1:15" ht="22.05" customHeight="1" x14ac:dyDescent="0.3">
      <c r="A460" s="136">
        <v>416</v>
      </c>
      <c r="B460" s="165" t="str">
        <f>IF($A460&gt;MIN($A$10,$A$2),"",INDEX(DemoHistory[Date],$A460))</f>
        <v/>
      </c>
      <c r="C460" s="166" t="str">
        <f>IF(OR($A460&gt;MIN($A$10,$A$2),$A$5=""),"",INDEX(DemoHistory[],$A460,MATCH($A$5,DemoHistory[#Headers],0)))</f>
        <v/>
      </c>
      <c r="D460" s="166" t="str">
        <f>IF($A460&gt;MIN($A$10,$A$2),"",IF(AND($A$12,$A$6=1,B460&lt;$A$7,$A$7&lt;=MAX(DemoHistory[Date])),$A$8,1))</f>
        <v/>
      </c>
      <c r="E460" s="166" t="str">
        <f t="shared" si="18"/>
        <v/>
      </c>
      <c r="F460" s="166" t="str">
        <f>IF($A460&gt;MIN($A$10,$A$2),"",IF($A460&lt;50,"n.a.",IF(COUNT(INDEX(StockDaily[Adjusted close],MAX(1,$A460-50+1)):E460)=50,AVERAGE(INDEX(StockDaily[Adjusted close],MAX(1,$A460-50+1)):E460),"n.a.")))</f>
        <v/>
      </c>
      <c r="G460" s="166" t="str">
        <f>IF($A460&gt;MIN($A$10,$A$2),"",IF($A460&lt;200,"n.a.",IF(COUNT(INDEX(StockDaily[Adjusted close],MAX(1,$A460-200+1)):E460)=200,AVERAGE(INDEX(StockDaily[Adjusted close],MAX(1,$A460-200+1)):E460),"n.a.")))</f>
        <v/>
      </c>
      <c r="H460" s="136" t="str">
        <f>IF($A460&gt;MIN($A$10,$A$2),"",IF($A$5="","Choose stock",IF(NOT($A$12),"Check split rule",IF(NOT(ISNUMBER(B460)),"Invalid date",IF(OR(B460&lt;=0,B460&lt;&gt;INT(B460)),"Invalid date",IF(COUNTIFS(DemoHistory[Date],B460)&lt;&gt;1,"Duplicate date",IF(AND($A460&gt;1,B460&lt;=B459),"Dates out of order",IF(NOT(ISNUMBER(C460)),"Missing price",IF(C460&lt;=0,"Nonpositive price","OK")))))))))</f>
        <v/>
      </c>
      <c r="I460" s="136"/>
      <c r="J460" s="136"/>
      <c r="K460" s="136"/>
      <c r="L460" s="136"/>
      <c r="M460" s="136"/>
      <c r="N460" s="136" t="e">
        <f t="shared" si="19"/>
        <v>#N/A</v>
      </c>
      <c r="O460" s="136" t="e">
        <f t="shared" si="20"/>
        <v>#N/A</v>
      </c>
    </row>
    <row r="461" spans="1:15" ht="22.05" customHeight="1" x14ac:dyDescent="0.3">
      <c r="A461" s="136">
        <v>417</v>
      </c>
      <c r="B461" s="165" t="str">
        <f>IF($A461&gt;MIN($A$10,$A$2),"",INDEX(DemoHistory[Date],$A461))</f>
        <v/>
      </c>
      <c r="C461" s="166" t="str">
        <f>IF(OR($A461&gt;MIN($A$10,$A$2),$A$5=""),"",INDEX(DemoHistory[],$A461,MATCH($A$5,DemoHistory[#Headers],0)))</f>
        <v/>
      </c>
      <c r="D461" s="166" t="str">
        <f>IF($A461&gt;MIN($A$10,$A$2),"",IF(AND($A$12,$A$6=1,B461&lt;$A$7,$A$7&lt;=MAX(DemoHistory[Date])),$A$8,1))</f>
        <v/>
      </c>
      <c r="E461" s="166" t="str">
        <f t="shared" si="18"/>
        <v/>
      </c>
      <c r="F461" s="166" t="str">
        <f>IF($A461&gt;MIN($A$10,$A$2),"",IF($A461&lt;50,"n.a.",IF(COUNT(INDEX(StockDaily[Adjusted close],MAX(1,$A461-50+1)):E461)=50,AVERAGE(INDEX(StockDaily[Adjusted close],MAX(1,$A461-50+1)):E461),"n.a.")))</f>
        <v/>
      </c>
      <c r="G461" s="166" t="str">
        <f>IF($A461&gt;MIN($A$10,$A$2),"",IF($A461&lt;200,"n.a.",IF(COUNT(INDEX(StockDaily[Adjusted close],MAX(1,$A461-200+1)):E461)=200,AVERAGE(INDEX(StockDaily[Adjusted close],MAX(1,$A461-200+1)):E461),"n.a.")))</f>
        <v/>
      </c>
      <c r="H461" s="136" t="str">
        <f>IF($A461&gt;MIN($A$10,$A$2),"",IF($A$5="","Choose stock",IF(NOT($A$12),"Check split rule",IF(NOT(ISNUMBER(B461)),"Invalid date",IF(OR(B461&lt;=0,B461&lt;&gt;INT(B461)),"Invalid date",IF(COUNTIFS(DemoHistory[Date],B461)&lt;&gt;1,"Duplicate date",IF(AND($A461&gt;1,B461&lt;=B460),"Dates out of order",IF(NOT(ISNUMBER(C461)),"Missing price",IF(C461&lt;=0,"Nonpositive price","OK")))))))))</f>
        <v/>
      </c>
      <c r="I461" s="136"/>
      <c r="J461" s="136"/>
      <c r="K461" s="136"/>
      <c r="L461" s="136"/>
      <c r="M461" s="136"/>
      <c r="N461" s="136" t="e">
        <f t="shared" si="19"/>
        <v>#N/A</v>
      </c>
      <c r="O461" s="136" t="e">
        <f t="shared" si="20"/>
        <v>#N/A</v>
      </c>
    </row>
    <row r="462" spans="1:15" ht="22.05" customHeight="1" x14ac:dyDescent="0.3">
      <c r="A462" s="136">
        <v>418</v>
      </c>
      <c r="B462" s="165" t="str">
        <f>IF($A462&gt;MIN($A$10,$A$2),"",INDEX(DemoHistory[Date],$A462))</f>
        <v/>
      </c>
      <c r="C462" s="166" t="str">
        <f>IF(OR($A462&gt;MIN($A$10,$A$2),$A$5=""),"",INDEX(DemoHistory[],$A462,MATCH($A$5,DemoHistory[#Headers],0)))</f>
        <v/>
      </c>
      <c r="D462" s="166" t="str">
        <f>IF($A462&gt;MIN($A$10,$A$2),"",IF(AND($A$12,$A$6=1,B462&lt;$A$7,$A$7&lt;=MAX(DemoHistory[Date])),$A$8,1))</f>
        <v/>
      </c>
      <c r="E462" s="166" t="str">
        <f t="shared" si="18"/>
        <v/>
      </c>
      <c r="F462" s="166" t="str">
        <f>IF($A462&gt;MIN($A$10,$A$2),"",IF($A462&lt;50,"n.a.",IF(COUNT(INDEX(StockDaily[Adjusted close],MAX(1,$A462-50+1)):E462)=50,AVERAGE(INDEX(StockDaily[Adjusted close],MAX(1,$A462-50+1)):E462),"n.a.")))</f>
        <v/>
      </c>
      <c r="G462" s="166" t="str">
        <f>IF($A462&gt;MIN($A$10,$A$2),"",IF($A462&lt;200,"n.a.",IF(COUNT(INDEX(StockDaily[Adjusted close],MAX(1,$A462-200+1)):E462)=200,AVERAGE(INDEX(StockDaily[Adjusted close],MAX(1,$A462-200+1)):E462),"n.a.")))</f>
        <v/>
      </c>
      <c r="H462" s="136" t="str">
        <f>IF($A462&gt;MIN($A$10,$A$2),"",IF($A$5="","Choose stock",IF(NOT($A$12),"Check split rule",IF(NOT(ISNUMBER(B462)),"Invalid date",IF(OR(B462&lt;=0,B462&lt;&gt;INT(B462)),"Invalid date",IF(COUNTIFS(DemoHistory[Date],B462)&lt;&gt;1,"Duplicate date",IF(AND($A462&gt;1,B462&lt;=B461),"Dates out of order",IF(NOT(ISNUMBER(C462)),"Missing price",IF(C462&lt;=0,"Nonpositive price","OK")))))))))</f>
        <v/>
      </c>
      <c r="I462" s="136"/>
      <c r="J462" s="136"/>
      <c r="K462" s="136"/>
      <c r="L462" s="136"/>
      <c r="M462" s="136"/>
      <c r="N462" s="136" t="e">
        <f t="shared" si="19"/>
        <v>#N/A</v>
      </c>
      <c r="O462" s="136" t="e">
        <f t="shared" si="20"/>
        <v>#N/A</v>
      </c>
    </row>
    <row r="463" spans="1:15" ht="22.05" customHeight="1" x14ac:dyDescent="0.3">
      <c r="A463" s="136">
        <v>419</v>
      </c>
      <c r="B463" s="165" t="str">
        <f>IF($A463&gt;MIN($A$10,$A$2),"",INDEX(DemoHistory[Date],$A463))</f>
        <v/>
      </c>
      <c r="C463" s="166" t="str">
        <f>IF(OR($A463&gt;MIN($A$10,$A$2),$A$5=""),"",INDEX(DemoHistory[],$A463,MATCH($A$5,DemoHistory[#Headers],0)))</f>
        <v/>
      </c>
      <c r="D463" s="166" t="str">
        <f>IF($A463&gt;MIN($A$10,$A$2),"",IF(AND($A$12,$A$6=1,B463&lt;$A$7,$A$7&lt;=MAX(DemoHistory[Date])),$A$8,1))</f>
        <v/>
      </c>
      <c r="E463" s="166" t="str">
        <f t="shared" si="18"/>
        <v/>
      </c>
      <c r="F463" s="166" t="str">
        <f>IF($A463&gt;MIN($A$10,$A$2),"",IF($A463&lt;50,"n.a.",IF(COUNT(INDEX(StockDaily[Adjusted close],MAX(1,$A463-50+1)):E463)=50,AVERAGE(INDEX(StockDaily[Adjusted close],MAX(1,$A463-50+1)):E463),"n.a.")))</f>
        <v/>
      </c>
      <c r="G463" s="166" t="str">
        <f>IF($A463&gt;MIN($A$10,$A$2),"",IF($A463&lt;200,"n.a.",IF(COUNT(INDEX(StockDaily[Adjusted close],MAX(1,$A463-200+1)):E463)=200,AVERAGE(INDEX(StockDaily[Adjusted close],MAX(1,$A463-200+1)):E463),"n.a.")))</f>
        <v/>
      </c>
      <c r="H463" s="136" t="str">
        <f>IF($A463&gt;MIN($A$10,$A$2),"",IF($A$5="","Choose stock",IF(NOT($A$12),"Check split rule",IF(NOT(ISNUMBER(B463)),"Invalid date",IF(OR(B463&lt;=0,B463&lt;&gt;INT(B463)),"Invalid date",IF(COUNTIFS(DemoHistory[Date],B463)&lt;&gt;1,"Duplicate date",IF(AND($A463&gt;1,B463&lt;=B462),"Dates out of order",IF(NOT(ISNUMBER(C463)),"Missing price",IF(C463&lt;=0,"Nonpositive price","OK")))))))))</f>
        <v/>
      </c>
      <c r="I463" s="136"/>
      <c r="J463" s="136"/>
      <c r="K463" s="136"/>
      <c r="L463" s="136"/>
      <c r="M463" s="136"/>
      <c r="N463" s="136" t="e">
        <f t="shared" si="19"/>
        <v>#N/A</v>
      </c>
      <c r="O463" s="136" t="e">
        <f t="shared" si="20"/>
        <v>#N/A</v>
      </c>
    </row>
    <row r="464" spans="1:15" ht="22.05" customHeight="1" x14ac:dyDescent="0.3">
      <c r="A464" s="136">
        <v>420</v>
      </c>
      <c r="B464" s="165" t="str">
        <f>IF($A464&gt;MIN($A$10,$A$2),"",INDEX(DemoHistory[Date],$A464))</f>
        <v/>
      </c>
      <c r="C464" s="166" t="str">
        <f>IF(OR($A464&gt;MIN($A$10,$A$2),$A$5=""),"",INDEX(DemoHistory[],$A464,MATCH($A$5,DemoHistory[#Headers],0)))</f>
        <v/>
      </c>
      <c r="D464" s="166" t="str">
        <f>IF($A464&gt;MIN($A$10,$A$2),"",IF(AND($A$12,$A$6=1,B464&lt;$A$7,$A$7&lt;=MAX(DemoHistory[Date])),$A$8,1))</f>
        <v/>
      </c>
      <c r="E464" s="166" t="str">
        <f t="shared" si="18"/>
        <v/>
      </c>
      <c r="F464" s="166" t="str">
        <f>IF($A464&gt;MIN($A$10,$A$2),"",IF($A464&lt;50,"n.a.",IF(COUNT(INDEX(StockDaily[Adjusted close],MAX(1,$A464-50+1)):E464)=50,AVERAGE(INDEX(StockDaily[Adjusted close],MAX(1,$A464-50+1)):E464),"n.a.")))</f>
        <v/>
      </c>
      <c r="G464" s="166" t="str">
        <f>IF($A464&gt;MIN($A$10,$A$2),"",IF($A464&lt;200,"n.a.",IF(COUNT(INDEX(StockDaily[Adjusted close],MAX(1,$A464-200+1)):E464)=200,AVERAGE(INDEX(StockDaily[Adjusted close],MAX(1,$A464-200+1)):E464),"n.a.")))</f>
        <v/>
      </c>
      <c r="H464" s="136" t="str">
        <f>IF($A464&gt;MIN($A$10,$A$2),"",IF($A$5="","Choose stock",IF(NOT($A$12),"Check split rule",IF(NOT(ISNUMBER(B464)),"Invalid date",IF(OR(B464&lt;=0,B464&lt;&gt;INT(B464)),"Invalid date",IF(COUNTIFS(DemoHistory[Date],B464)&lt;&gt;1,"Duplicate date",IF(AND($A464&gt;1,B464&lt;=B463),"Dates out of order",IF(NOT(ISNUMBER(C464)),"Missing price",IF(C464&lt;=0,"Nonpositive price","OK")))))))))</f>
        <v/>
      </c>
      <c r="I464" s="136"/>
      <c r="J464" s="136"/>
      <c r="K464" s="136"/>
      <c r="L464" s="136"/>
      <c r="M464" s="136"/>
      <c r="N464" s="136" t="e">
        <f t="shared" si="19"/>
        <v>#N/A</v>
      </c>
      <c r="O464" s="136" t="e">
        <f t="shared" si="20"/>
        <v>#N/A</v>
      </c>
    </row>
    <row r="465" spans="1:15" ht="22.05" customHeight="1" x14ac:dyDescent="0.3">
      <c r="A465" s="136">
        <v>421</v>
      </c>
      <c r="B465" s="165" t="str">
        <f>IF($A465&gt;MIN($A$10,$A$2),"",INDEX(DemoHistory[Date],$A465))</f>
        <v/>
      </c>
      <c r="C465" s="166" t="str">
        <f>IF(OR($A465&gt;MIN($A$10,$A$2),$A$5=""),"",INDEX(DemoHistory[],$A465,MATCH($A$5,DemoHistory[#Headers],0)))</f>
        <v/>
      </c>
      <c r="D465" s="166" t="str">
        <f>IF($A465&gt;MIN($A$10,$A$2),"",IF(AND($A$12,$A$6=1,B465&lt;$A$7,$A$7&lt;=MAX(DemoHistory[Date])),$A$8,1))</f>
        <v/>
      </c>
      <c r="E465" s="166" t="str">
        <f t="shared" si="18"/>
        <v/>
      </c>
      <c r="F465" s="166" t="str">
        <f>IF($A465&gt;MIN($A$10,$A$2),"",IF($A465&lt;50,"n.a.",IF(COUNT(INDEX(StockDaily[Adjusted close],MAX(1,$A465-50+1)):E465)=50,AVERAGE(INDEX(StockDaily[Adjusted close],MAX(1,$A465-50+1)):E465),"n.a.")))</f>
        <v/>
      </c>
      <c r="G465" s="166" t="str">
        <f>IF($A465&gt;MIN($A$10,$A$2),"",IF($A465&lt;200,"n.a.",IF(COUNT(INDEX(StockDaily[Adjusted close],MAX(1,$A465-200+1)):E465)=200,AVERAGE(INDEX(StockDaily[Adjusted close],MAX(1,$A465-200+1)):E465),"n.a.")))</f>
        <v/>
      </c>
      <c r="H465" s="136" t="str">
        <f>IF($A465&gt;MIN($A$10,$A$2),"",IF($A$5="","Choose stock",IF(NOT($A$12),"Check split rule",IF(NOT(ISNUMBER(B465)),"Invalid date",IF(OR(B465&lt;=0,B465&lt;&gt;INT(B465)),"Invalid date",IF(COUNTIFS(DemoHistory[Date],B465)&lt;&gt;1,"Duplicate date",IF(AND($A465&gt;1,B465&lt;=B464),"Dates out of order",IF(NOT(ISNUMBER(C465)),"Missing price",IF(C465&lt;=0,"Nonpositive price","OK")))))))))</f>
        <v/>
      </c>
      <c r="I465" s="136"/>
      <c r="J465" s="136"/>
      <c r="K465" s="136"/>
      <c r="L465" s="136"/>
      <c r="M465" s="136"/>
      <c r="N465" s="136" t="e">
        <f t="shared" si="19"/>
        <v>#N/A</v>
      </c>
      <c r="O465" s="136" t="e">
        <f t="shared" si="20"/>
        <v>#N/A</v>
      </c>
    </row>
    <row r="466" spans="1:15" ht="22.05" customHeight="1" x14ac:dyDescent="0.3">
      <c r="A466" s="136">
        <v>422</v>
      </c>
      <c r="B466" s="165" t="str">
        <f>IF($A466&gt;MIN($A$10,$A$2),"",INDEX(DemoHistory[Date],$A466))</f>
        <v/>
      </c>
      <c r="C466" s="166" t="str">
        <f>IF(OR($A466&gt;MIN($A$10,$A$2),$A$5=""),"",INDEX(DemoHistory[],$A466,MATCH($A$5,DemoHistory[#Headers],0)))</f>
        <v/>
      </c>
      <c r="D466" s="166" t="str">
        <f>IF($A466&gt;MIN($A$10,$A$2),"",IF(AND($A$12,$A$6=1,B466&lt;$A$7,$A$7&lt;=MAX(DemoHistory[Date])),$A$8,1))</f>
        <v/>
      </c>
      <c r="E466" s="166" t="str">
        <f t="shared" si="18"/>
        <v/>
      </c>
      <c r="F466" s="166" t="str">
        <f>IF($A466&gt;MIN($A$10,$A$2),"",IF($A466&lt;50,"n.a.",IF(COUNT(INDEX(StockDaily[Adjusted close],MAX(1,$A466-50+1)):E466)=50,AVERAGE(INDEX(StockDaily[Adjusted close],MAX(1,$A466-50+1)):E466),"n.a.")))</f>
        <v/>
      </c>
      <c r="G466" s="166" t="str">
        <f>IF($A466&gt;MIN($A$10,$A$2),"",IF($A466&lt;200,"n.a.",IF(COUNT(INDEX(StockDaily[Adjusted close],MAX(1,$A466-200+1)):E466)=200,AVERAGE(INDEX(StockDaily[Adjusted close],MAX(1,$A466-200+1)):E466),"n.a.")))</f>
        <v/>
      </c>
      <c r="H466" s="136" t="str">
        <f>IF($A466&gt;MIN($A$10,$A$2),"",IF($A$5="","Choose stock",IF(NOT($A$12),"Check split rule",IF(NOT(ISNUMBER(B466)),"Invalid date",IF(OR(B466&lt;=0,B466&lt;&gt;INT(B466)),"Invalid date",IF(COUNTIFS(DemoHistory[Date],B466)&lt;&gt;1,"Duplicate date",IF(AND($A466&gt;1,B466&lt;=B465),"Dates out of order",IF(NOT(ISNUMBER(C466)),"Missing price",IF(C466&lt;=0,"Nonpositive price","OK")))))))))</f>
        <v/>
      </c>
      <c r="I466" s="136"/>
      <c r="J466" s="136"/>
      <c r="K466" s="136"/>
      <c r="L466" s="136"/>
      <c r="M466" s="136"/>
      <c r="N466" s="136" t="e">
        <f t="shared" si="19"/>
        <v>#N/A</v>
      </c>
      <c r="O466" s="136" t="e">
        <f t="shared" si="20"/>
        <v>#N/A</v>
      </c>
    </row>
    <row r="467" spans="1:15" ht="22.05" customHeight="1" x14ac:dyDescent="0.3">
      <c r="A467" s="136">
        <v>423</v>
      </c>
      <c r="B467" s="165" t="str">
        <f>IF($A467&gt;MIN($A$10,$A$2),"",INDEX(DemoHistory[Date],$A467))</f>
        <v/>
      </c>
      <c r="C467" s="166" t="str">
        <f>IF(OR($A467&gt;MIN($A$10,$A$2),$A$5=""),"",INDEX(DemoHistory[],$A467,MATCH($A$5,DemoHistory[#Headers],0)))</f>
        <v/>
      </c>
      <c r="D467" s="166" t="str">
        <f>IF($A467&gt;MIN($A$10,$A$2),"",IF(AND($A$12,$A$6=1,B467&lt;$A$7,$A$7&lt;=MAX(DemoHistory[Date])),$A$8,1))</f>
        <v/>
      </c>
      <c r="E467" s="166" t="str">
        <f t="shared" si="18"/>
        <v/>
      </c>
      <c r="F467" s="166" t="str">
        <f>IF($A467&gt;MIN($A$10,$A$2),"",IF($A467&lt;50,"n.a.",IF(COUNT(INDEX(StockDaily[Adjusted close],MAX(1,$A467-50+1)):E467)=50,AVERAGE(INDEX(StockDaily[Adjusted close],MAX(1,$A467-50+1)):E467),"n.a.")))</f>
        <v/>
      </c>
      <c r="G467" s="166" t="str">
        <f>IF($A467&gt;MIN($A$10,$A$2),"",IF($A467&lt;200,"n.a.",IF(COUNT(INDEX(StockDaily[Adjusted close],MAX(1,$A467-200+1)):E467)=200,AVERAGE(INDEX(StockDaily[Adjusted close],MAX(1,$A467-200+1)):E467),"n.a.")))</f>
        <v/>
      </c>
      <c r="H467" s="136" t="str">
        <f>IF($A467&gt;MIN($A$10,$A$2),"",IF($A$5="","Choose stock",IF(NOT($A$12),"Check split rule",IF(NOT(ISNUMBER(B467)),"Invalid date",IF(OR(B467&lt;=0,B467&lt;&gt;INT(B467)),"Invalid date",IF(COUNTIFS(DemoHistory[Date],B467)&lt;&gt;1,"Duplicate date",IF(AND($A467&gt;1,B467&lt;=B466),"Dates out of order",IF(NOT(ISNUMBER(C467)),"Missing price",IF(C467&lt;=0,"Nonpositive price","OK")))))))))</f>
        <v/>
      </c>
      <c r="I467" s="136"/>
      <c r="J467" s="136"/>
      <c r="K467" s="136"/>
      <c r="L467" s="136"/>
      <c r="M467" s="136"/>
      <c r="N467" s="136" t="e">
        <f t="shared" si="19"/>
        <v>#N/A</v>
      </c>
      <c r="O467" s="136" t="e">
        <f t="shared" si="20"/>
        <v>#N/A</v>
      </c>
    </row>
    <row r="468" spans="1:15" ht="22.05" customHeight="1" x14ac:dyDescent="0.3">
      <c r="A468" s="136">
        <v>424</v>
      </c>
      <c r="B468" s="165" t="str">
        <f>IF($A468&gt;MIN($A$10,$A$2),"",INDEX(DemoHistory[Date],$A468))</f>
        <v/>
      </c>
      <c r="C468" s="166" t="str">
        <f>IF(OR($A468&gt;MIN($A$10,$A$2),$A$5=""),"",INDEX(DemoHistory[],$A468,MATCH($A$5,DemoHistory[#Headers],0)))</f>
        <v/>
      </c>
      <c r="D468" s="166" t="str">
        <f>IF($A468&gt;MIN($A$10,$A$2),"",IF(AND($A$12,$A$6=1,B468&lt;$A$7,$A$7&lt;=MAX(DemoHistory[Date])),$A$8,1))</f>
        <v/>
      </c>
      <c r="E468" s="166" t="str">
        <f t="shared" si="18"/>
        <v/>
      </c>
      <c r="F468" s="166" t="str">
        <f>IF($A468&gt;MIN($A$10,$A$2),"",IF($A468&lt;50,"n.a.",IF(COUNT(INDEX(StockDaily[Adjusted close],MAX(1,$A468-50+1)):E468)=50,AVERAGE(INDEX(StockDaily[Adjusted close],MAX(1,$A468-50+1)):E468),"n.a.")))</f>
        <v/>
      </c>
      <c r="G468" s="166" t="str">
        <f>IF($A468&gt;MIN($A$10,$A$2),"",IF($A468&lt;200,"n.a.",IF(COUNT(INDEX(StockDaily[Adjusted close],MAX(1,$A468-200+1)):E468)=200,AVERAGE(INDEX(StockDaily[Adjusted close],MAX(1,$A468-200+1)):E468),"n.a.")))</f>
        <v/>
      </c>
      <c r="H468" s="136" t="str">
        <f>IF($A468&gt;MIN($A$10,$A$2),"",IF($A$5="","Choose stock",IF(NOT($A$12),"Check split rule",IF(NOT(ISNUMBER(B468)),"Invalid date",IF(OR(B468&lt;=0,B468&lt;&gt;INT(B468)),"Invalid date",IF(COUNTIFS(DemoHistory[Date],B468)&lt;&gt;1,"Duplicate date",IF(AND($A468&gt;1,B468&lt;=B467),"Dates out of order",IF(NOT(ISNUMBER(C468)),"Missing price",IF(C468&lt;=0,"Nonpositive price","OK")))))))))</f>
        <v/>
      </c>
      <c r="I468" s="136"/>
      <c r="J468" s="136"/>
      <c r="K468" s="136"/>
      <c r="L468" s="136"/>
      <c r="M468" s="136"/>
      <c r="N468" s="136" t="e">
        <f t="shared" si="19"/>
        <v>#N/A</v>
      </c>
      <c r="O468" s="136" t="e">
        <f t="shared" si="20"/>
        <v>#N/A</v>
      </c>
    </row>
    <row r="469" spans="1:15" ht="22.05" customHeight="1" x14ac:dyDescent="0.3">
      <c r="A469" s="136">
        <v>425</v>
      </c>
      <c r="B469" s="165" t="str">
        <f>IF($A469&gt;MIN($A$10,$A$2),"",INDEX(DemoHistory[Date],$A469))</f>
        <v/>
      </c>
      <c r="C469" s="166" t="str">
        <f>IF(OR($A469&gt;MIN($A$10,$A$2),$A$5=""),"",INDEX(DemoHistory[],$A469,MATCH($A$5,DemoHistory[#Headers],0)))</f>
        <v/>
      </c>
      <c r="D469" s="166" t="str">
        <f>IF($A469&gt;MIN($A$10,$A$2),"",IF(AND($A$12,$A$6=1,B469&lt;$A$7,$A$7&lt;=MAX(DemoHistory[Date])),$A$8,1))</f>
        <v/>
      </c>
      <c r="E469" s="166" t="str">
        <f t="shared" si="18"/>
        <v/>
      </c>
      <c r="F469" s="166" t="str">
        <f>IF($A469&gt;MIN($A$10,$A$2),"",IF($A469&lt;50,"n.a.",IF(COUNT(INDEX(StockDaily[Adjusted close],MAX(1,$A469-50+1)):E469)=50,AVERAGE(INDEX(StockDaily[Adjusted close],MAX(1,$A469-50+1)):E469),"n.a.")))</f>
        <v/>
      </c>
      <c r="G469" s="166" t="str">
        <f>IF($A469&gt;MIN($A$10,$A$2),"",IF($A469&lt;200,"n.a.",IF(COUNT(INDEX(StockDaily[Adjusted close],MAX(1,$A469-200+1)):E469)=200,AVERAGE(INDEX(StockDaily[Adjusted close],MAX(1,$A469-200+1)):E469),"n.a.")))</f>
        <v/>
      </c>
      <c r="H469" s="136" t="str">
        <f>IF($A469&gt;MIN($A$10,$A$2),"",IF($A$5="","Choose stock",IF(NOT($A$12),"Check split rule",IF(NOT(ISNUMBER(B469)),"Invalid date",IF(OR(B469&lt;=0,B469&lt;&gt;INT(B469)),"Invalid date",IF(COUNTIFS(DemoHistory[Date],B469)&lt;&gt;1,"Duplicate date",IF(AND($A469&gt;1,B469&lt;=B468),"Dates out of order",IF(NOT(ISNUMBER(C469)),"Missing price",IF(C469&lt;=0,"Nonpositive price","OK")))))))))</f>
        <v/>
      </c>
      <c r="I469" s="136"/>
      <c r="J469" s="136"/>
      <c r="K469" s="136"/>
      <c r="L469" s="136"/>
      <c r="M469" s="136"/>
      <c r="N469" s="136" t="e">
        <f t="shared" si="19"/>
        <v>#N/A</v>
      </c>
      <c r="O469" s="136" t="e">
        <f t="shared" si="20"/>
        <v>#N/A</v>
      </c>
    </row>
    <row r="470" spans="1:15" ht="22.05" customHeight="1" x14ac:dyDescent="0.3">
      <c r="A470" s="136">
        <v>426</v>
      </c>
      <c r="B470" s="165" t="str">
        <f>IF($A470&gt;MIN($A$10,$A$2),"",INDEX(DemoHistory[Date],$A470))</f>
        <v/>
      </c>
      <c r="C470" s="166" t="str">
        <f>IF(OR($A470&gt;MIN($A$10,$A$2),$A$5=""),"",INDEX(DemoHistory[],$A470,MATCH($A$5,DemoHistory[#Headers],0)))</f>
        <v/>
      </c>
      <c r="D470" s="166" t="str">
        <f>IF($A470&gt;MIN($A$10,$A$2),"",IF(AND($A$12,$A$6=1,B470&lt;$A$7,$A$7&lt;=MAX(DemoHistory[Date])),$A$8,1))</f>
        <v/>
      </c>
      <c r="E470" s="166" t="str">
        <f t="shared" si="18"/>
        <v/>
      </c>
      <c r="F470" s="166" t="str">
        <f>IF($A470&gt;MIN($A$10,$A$2),"",IF($A470&lt;50,"n.a.",IF(COUNT(INDEX(StockDaily[Adjusted close],MAX(1,$A470-50+1)):E470)=50,AVERAGE(INDEX(StockDaily[Adjusted close],MAX(1,$A470-50+1)):E470),"n.a.")))</f>
        <v/>
      </c>
      <c r="G470" s="166" t="str">
        <f>IF($A470&gt;MIN($A$10,$A$2),"",IF($A470&lt;200,"n.a.",IF(COUNT(INDEX(StockDaily[Adjusted close],MAX(1,$A470-200+1)):E470)=200,AVERAGE(INDEX(StockDaily[Adjusted close],MAX(1,$A470-200+1)):E470),"n.a.")))</f>
        <v/>
      </c>
      <c r="H470" s="136" t="str">
        <f>IF($A470&gt;MIN($A$10,$A$2),"",IF($A$5="","Choose stock",IF(NOT($A$12),"Check split rule",IF(NOT(ISNUMBER(B470)),"Invalid date",IF(OR(B470&lt;=0,B470&lt;&gt;INT(B470)),"Invalid date",IF(COUNTIFS(DemoHistory[Date],B470)&lt;&gt;1,"Duplicate date",IF(AND($A470&gt;1,B470&lt;=B469),"Dates out of order",IF(NOT(ISNUMBER(C470)),"Missing price",IF(C470&lt;=0,"Nonpositive price","OK")))))))))</f>
        <v/>
      </c>
      <c r="I470" s="136"/>
      <c r="J470" s="136"/>
      <c r="K470" s="136"/>
      <c r="L470" s="136"/>
      <c r="M470" s="136"/>
      <c r="N470" s="136" t="e">
        <f t="shared" si="19"/>
        <v>#N/A</v>
      </c>
      <c r="O470" s="136" t="e">
        <f t="shared" si="20"/>
        <v>#N/A</v>
      </c>
    </row>
    <row r="471" spans="1:15" ht="22.05" customHeight="1" x14ac:dyDescent="0.3">
      <c r="A471" s="136">
        <v>427</v>
      </c>
      <c r="B471" s="165" t="str">
        <f>IF($A471&gt;MIN($A$10,$A$2),"",INDEX(DemoHistory[Date],$A471))</f>
        <v/>
      </c>
      <c r="C471" s="166" t="str">
        <f>IF(OR($A471&gt;MIN($A$10,$A$2),$A$5=""),"",INDEX(DemoHistory[],$A471,MATCH($A$5,DemoHistory[#Headers],0)))</f>
        <v/>
      </c>
      <c r="D471" s="166" t="str">
        <f>IF($A471&gt;MIN($A$10,$A$2),"",IF(AND($A$12,$A$6=1,B471&lt;$A$7,$A$7&lt;=MAX(DemoHistory[Date])),$A$8,1))</f>
        <v/>
      </c>
      <c r="E471" s="166" t="str">
        <f t="shared" si="18"/>
        <v/>
      </c>
      <c r="F471" s="166" t="str">
        <f>IF($A471&gt;MIN($A$10,$A$2),"",IF($A471&lt;50,"n.a.",IF(COUNT(INDEX(StockDaily[Adjusted close],MAX(1,$A471-50+1)):E471)=50,AVERAGE(INDEX(StockDaily[Adjusted close],MAX(1,$A471-50+1)):E471),"n.a.")))</f>
        <v/>
      </c>
      <c r="G471" s="166" t="str">
        <f>IF($A471&gt;MIN($A$10,$A$2),"",IF($A471&lt;200,"n.a.",IF(COUNT(INDEX(StockDaily[Adjusted close],MAX(1,$A471-200+1)):E471)=200,AVERAGE(INDEX(StockDaily[Adjusted close],MAX(1,$A471-200+1)):E471),"n.a.")))</f>
        <v/>
      </c>
      <c r="H471" s="136" t="str">
        <f>IF($A471&gt;MIN($A$10,$A$2),"",IF($A$5="","Choose stock",IF(NOT($A$12),"Check split rule",IF(NOT(ISNUMBER(B471)),"Invalid date",IF(OR(B471&lt;=0,B471&lt;&gt;INT(B471)),"Invalid date",IF(COUNTIFS(DemoHistory[Date],B471)&lt;&gt;1,"Duplicate date",IF(AND($A471&gt;1,B471&lt;=B470),"Dates out of order",IF(NOT(ISNUMBER(C471)),"Missing price",IF(C471&lt;=0,"Nonpositive price","OK")))))))))</f>
        <v/>
      </c>
      <c r="I471" s="136"/>
      <c r="J471" s="136"/>
      <c r="K471" s="136"/>
      <c r="L471" s="136"/>
      <c r="M471" s="136"/>
      <c r="N471" s="136" t="e">
        <f t="shared" si="19"/>
        <v>#N/A</v>
      </c>
      <c r="O471" s="136" t="e">
        <f t="shared" si="20"/>
        <v>#N/A</v>
      </c>
    </row>
    <row r="472" spans="1:15" ht="22.05" customHeight="1" x14ac:dyDescent="0.3">
      <c r="A472" s="136">
        <v>428</v>
      </c>
      <c r="B472" s="165" t="str">
        <f>IF($A472&gt;MIN($A$10,$A$2),"",INDEX(DemoHistory[Date],$A472))</f>
        <v/>
      </c>
      <c r="C472" s="166" t="str">
        <f>IF(OR($A472&gt;MIN($A$10,$A$2),$A$5=""),"",INDEX(DemoHistory[],$A472,MATCH($A$5,DemoHistory[#Headers],0)))</f>
        <v/>
      </c>
      <c r="D472" s="166" t="str">
        <f>IF($A472&gt;MIN($A$10,$A$2),"",IF(AND($A$12,$A$6=1,B472&lt;$A$7,$A$7&lt;=MAX(DemoHistory[Date])),$A$8,1))</f>
        <v/>
      </c>
      <c r="E472" s="166" t="str">
        <f t="shared" si="18"/>
        <v/>
      </c>
      <c r="F472" s="166" t="str">
        <f>IF($A472&gt;MIN($A$10,$A$2),"",IF($A472&lt;50,"n.a.",IF(COUNT(INDEX(StockDaily[Adjusted close],MAX(1,$A472-50+1)):E472)=50,AVERAGE(INDEX(StockDaily[Adjusted close],MAX(1,$A472-50+1)):E472),"n.a.")))</f>
        <v/>
      </c>
      <c r="G472" s="166" t="str">
        <f>IF($A472&gt;MIN($A$10,$A$2),"",IF($A472&lt;200,"n.a.",IF(COUNT(INDEX(StockDaily[Adjusted close],MAX(1,$A472-200+1)):E472)=200,AVERAGE(INDEX(StockDaily[Adjusted close],MAX(1,$A472-200+1)):E472),"n.a.")))</f>
        <v/>
      </c>
      <c r="H472" s="136" t="str">
        <f>IF($A472&gt;MIN($A$10,$A$2),"",IF($A$5="","Choose stock",IF(NOT($A$12),"Check split rule",IF(NOT(ISNUMBER(B472)),"Invalid date",IF(OR(B472&lt;=0,B472&lt;&gt;INT(B472)),"Invalid date",IF(COUNTIFS(DemoHistory[Date],B472)&lt;&gt;1,"Duplicate date",IF(AND($A472&gt;1,B472&lt;=B471),"Dates out of order",IF(NOT(ISNUMBER(C472)),"Missing price",IF(C472&lt;=0,"Nonpositive price","OK")))))))))</f>
        <v/>
      </c>
      <c r="I472" s="136"/>
      <c r="J472" s="136"/>
      <c r="K472" s="136"/>
      <c r="L472" s="136"/>
      <c r="M472" s="136"/>
      <c r="N472" s="136" t="e">
        <f t="shared" si="19"/>
        <v>#N/A</v>
      </c>
      <c r="O472" s="136" t="e">
        <f t="shared" si="20"/>
        <v>#N/A</v>
      </c>
    </row>
    <row r="473" spans="1:15" ht="22.05" customHeight="1" x14ac:dyDescent="0.3">
      <c r="A473" s="136">
        <v>429</v>
      </c>
      <c r="B473" s="165" t="str">
        <f>IF($A473&gt;MIN($A$10,$A$2),"",INDEX(DemoHistory[Date],$A473))</f>
        <v/>
      </c>
      <c r="C473" s="166" t="str">
        <f>IF(OR($A473&gt;MIN($A$10,$A$2),$A$5=""),"",INDEX(DemoHistory[],$A473,MATCH($A$5,DemoHistory[#Headers],0)))</f>
        <v/>
      </c>
      <c r="D473" s="166" t="str">
        <f>IF($A473&gt;MIN($A$10,$A$2),"",IF(AND($A$12,$A$6=1,B473&lt;$A$7,$A$7&lt;=MAX(DemoHistory[Date])),$A$8,1))</f>
        <v/>
      </c>
      <c r="E473" s="166" t="str">
        <f t="shared" si="18"/>
        <v/>
      </c>
      <c r="F473" s="166" t="str">
        <f>IF($A473&gt;MIN($A$10,$A$2),"",IF($A473&lt;50,"n.a.",IF(COUNT(INDEX(StockDaily[Adjusted close],MAX(1,$A473-50+1)):E473)=50,AVERAGE(INDEX(StockDaily[Adjusted close],MAX(1,$A473-50+1)):E473),"n.a.")))</f>
        <v/>
      </c>
      <c r="G473" s="166" t="str">
        <f>IF($A473&gt;MIN($A$10,$A$2),"",IF($A473&lt;200,"n.a.",IF(COUNT(INDEX(StockDaily[Adjusted close],MAX(1,$A473-200+1)):E473)=200,AVERAGE(INDEX(StockDaily[Adjusted close],MAX(1,$A473-200+1)):E473),"n.a.")))</f>
        <v/>
      </c>
      <c r="H473" s="136" t="str">
        <f>IF($A473&gt;MIN($A$10,$A$2),"",IF($A$5="","Choose stock",IF(NOT($A$12),"Check split rule",IF(NOT(ISNUMBER(B473)),"Invalid date",IF(OR(B473&lt;=0,B473&lt;&gt;INT(B473)),"Invalid date",IF(COUNTIFS(DemoHistory[Date],B473)&lt;&gt;1,"Duplicate date",IF(AND($A473&gt;1,B473&lt;=B472),"Dates out of order",IF(NOT(ISNUMBER(C473)),"Missing price",IF(C473&lt;=0,"Nonpositive price","OK")))))))))</f>
        <v/>
      </c>
      <c r="I473" s="136"/>
      <c r="J473" s="136"/>
      <c r="K473" s="136"/>
      <c r="L473" s="136"/>
      <c r="M473" s="136"/>
      <c r="N473" s="136" t="e">
        <f t="shared" si="19"/>
        <v>#N/A</v>
      </c>
      <c r="O473" s="136" t="e">
        <f t="shared" si="20"/>
        <v>#N/A</v>
      </c>
    </row>
    <row r="474" spans="1:15" ht="22.05" customHeight="1" x14ac:dyDescent="0.3">
      <c r="A474" s="136">
        <v>430</v>
      </c>
      <c r="B474" s="165" t="str">
        <f>IF($A474&gt;MIN($A$10,$A$2),"",INDEX(DemoHistory[Date],$A474))</f>
        <v/>
      </c>
      <c r="C474" s="166" t="str">
        <f>IF(OR($A474&gt;MIN($A$10,$A$2),$A$5=""),"",INDEX(DemoHistory[],$A474,MATCH($A$5,DemoHistory[#Headers],0)))</f>
        <v/>
      </c>
      <c r="D474" s="166" t="str">
        <f>IF($A474&gt;MIN($A$10,$A$2),"",IF(AND($A$12,$A$6=1,B474&lt;$A$7,$A$7&lt;=MAX(DemoHistory[Date])),$A$8,1))</f>
        <v/>
      </c>
      <c r="E474" s="166" t="str">
        <f t="shared" si="18"/>
        <v/>
      </c>
      <c r="F474" s="166" t="str">
        <f>IF($A474&gt;MIN($A$10,$A$2),"",IF($A474&lt;50,"n.a.",IF(COUNT(INDEX(StockDaily[Adjusted close],MAX(1,$A474-50+1)):E474)=50,AVERAGE(INDEX(StockDaily[Adjusted close],MAX(1,$A474-50+1)):E474),"n.a.")))</f>
        <v/>
      </c>
      <c r="G474" s="166" t="str">
        <f>IF($A474&gt;MIN($A$10,$A$2),"",IF($A474&lt;200,"n.a.",IF(COUNT(INDEX(StockDaily[Adjusted close],MAX(1,$A474-200+1)):E474)=200,AVERAGE(INDEX(StockDaily[Adjusted close],MAX(1,$A474-200+1)):E474),"n.a.")))</f>
        <v/>
      </c>
      <c r="H474" s="136" t="str">
        <f>IF($A474&gt;MIN($A$10,$A$2),"",IF($A$5="","Choose stock",IF(NOT($A$12),"Check split rule",IF(NOT(ISNUMBER(B474)),"Invalid date",IF(OR(B474&lt;=0,B474&lt;&gt;INT(B474)),"Invalid date",IF(COUNTIFS(DemoHistory[Date],B474)&lt;&gt;1,"Duplicate date",IF(AND($A474&gt;1,B474&lt;=B473),"Dates out of order",IF(NOT(ISNUMBER(C474)),"Missing price",IF(C474&lt;=0,"Nonpositive price","OK")))))))))</f>
        <v/>
      </c>
      <c r="I474" s="136"/>
      <c r="J474" s="136"/>
      <c r="K474" s="136"/>
      <c r="L474" s="136"/>
      <c r="M474" s="136"/>
      <c r="N474" s="136" t="e">
        <f t="shared" si="19"/>
        <v>#N/A</v>
      </c>
      <c r="O474" s="136" t="e">
        <f t="shared" si="20"/>
        <v>#N/A</v>
      </c>
    </row>
    <row r="475" spans="1:15" ht="22.05" customHeight="1" x14ac:dyDescent="0.3">
      <c r="A475" s="136">
        <v>431</v>
      </c>
      <c r="B475" s="165" t="str">
        <f>IF($A475&gt;MIN($A$10,$A$2),"",INDEX(DemoHistory[Date],$A475))</f>
        <v/>
      </c>
      <c r="C475" s="166" t="str">
        <f>IF(OR($A475&gt;MIN($A$10,$A$2),$A$5=""),"",INDEX(DemoHistory[],$A475,MATCH($A$5,DemoHistory[#Headers],0)))</f>
        <v/>
      </c>
      <c r="D475" s="166" t="str">
        <f>IF($A475&gt;MIN($A$10,$A$2),"",IF(AND($A$12,$A$6=1,B475&lt;$A$7,$A$7&lt;=MAX(DemoHistory[Date])),$A$8,1))</f>
        <v/>
      </c>
      <c r="E475" s="166" t="str">
        <f t="shared" si="18"/>
        <v/>
      </c>
      <c r="F475" s="166" t="str">
        <f>IF($A475&gt;MIN($A$10,$A$2),"",IF($A475&lt;50,"n.a.",IF(COUNT(INDEX(StockDaily[Adjusted close],MAX(1,$A475-50+1)):E475)=50,AVERAGE(INDEX(StockDaily[Adjusted close],MAX(1,$A475-50+1)):E475),"n.a.")))</f>
        <v/>
      </c>
      <c r="G475" s="166" t="str">
        <f>IF($A475&gt;MIN($A$10,$A$2),"",IF($A475&lt;200,"n.a.",IF(COUNT(INDEX(StockDaily[Adjusted close],MAX(1,$A475-200+1)):E475)=200,AVERAGE(INDEX(StockDaily[Adjusted close],MAX(1,$A475-200+1)):E475),"n.a.")))</f>
        <v/>
      </c>
      <c r="H475" s="136" t="str">
        <f>IF($A475&gt;MIN($A$10,$A$2),"",IF($A$5="","Choose stock",IF(NOT($A$12),"Check split rule",IF(NOT(ISNUMBER(B475)),"Invalid date",IF(OR(B475&lt;=0,B475&lt;&gt;INT(B475)),"Invalid date",IF(COUNTIFS(DemoHistory[Date],B475)&lt;&gt;1,"Duplicate date",IF(AND($A475&gt;1,B475&lt;=B474),"Dates out of order",IF(NOT(ISNUMBER(C475)),"Missing price",IF(C475&lt;=0,"Nonpositive price","OK")))))))))</f>
        <v/>
      </c>
      <c r="I475" s="136"/>
      <c r="J475" s="136"/>
      <c r="K475" s="136"/>
      <c r="L475" s="136"/>
      <c r="M475" s="136"/>
      <c r="N475" s="136" t="e">
        <f t="shared" si="19"/>
        <v>#N/A</v>
      </c>
      <c r="O475" s="136" t="e">
        <f t="shared" si="20"/>
        <v>#N/A</v>
      </c>
    </row>
    <row r="476" spans="1:15" ht="22.05" customHeight="1" x14ac:dyDescent="0.3">
      <c r="A476" s="136">
        <v>432</v>
      </c>
      <c r="B476" s="165" t="str">
        <f>IF($A476&gt;MIN($A$10,$A$2),"",INDEX(DemoHistory[Date],$A476))</f>
        <v/>
      </c>
      <c r="C476" s="166" t="str">
        <f>IF(OR($A476&gt;MIN($A$10,$A$2),$A$5=""),"",INDEX(DemoHistory[],$A476,MATCH($A$5,DemoHistory[#Headers],0)))</f>
        <v/>
      </c>
      <c r="D476" s="166" t="str">
        <f>IF($A476&gt;MIN($A$10,$A$2),"",IF(AND($A$12,$A$6=1,B476&lt;$A$7,$A$7&lt;=MAX(DemoHistory[Date])),$A$8,1))</f>
        <v/>
      </c>
      <c r="E476" s="166" t="str">
        <f t="shared" si="18"/>
        <v/>
      </c>
      <c r="F476" s="166" t="str">
        <f>IF($A476&gt;MIN($A$10,$A$2),"",IF($A476&lt;50,"n.a.",IF(COUNT(INDEX(StockDaily[Adjusted close],MAX(1,$A476-50+1)):E476)=50,AVERAGE(INDEX(StockDaily[Adjusted close],MAX(1,$A476-50+1)):E476),"n.a.")))</f>
        <v/>
      </c>
      <c r="G476" s="166" t="str">
        <f>IF($A476&gt;MIN($A$10,$A$2),"",IF($A476&lt;200,"n.a.",IF(COUNT(INDEX(StockDaily[Adjusted close],MAX(1,$A476-200+1)):E476)=200,AVERAGE(INDEX(StockDaily[Adjusted close],MAX(1,$A476-200+1)):E476),"n.a.")))</f>
        <v/>
      </c>
      <c r="H476" s="136" t="str">
        <f>IF($A476&gt;MIN($A$10,$A$2),"",IF($A$5="","Choose stock",IF(NOT($A$12),"Check split rule",IF(NOT(ISNUMBER(B476)),"Invalid date",IF(OR(B476&lt;=0,B476&lt;&gt;INT(B476)),"Invalid date",IF(COUNTIFS(DemoHistory[Date],B476)&lt;&gt;1,"Duplicate date",IF(AND($A476&gt;1,B476&lt;=B475),"Dates out of order",IF(NOT(ISNUMBER(C476)),"Missing price",IF(C476&lt;=0,"Nonpositive price","OK")))))))))</f>
        <v/>
      </c>
      <c r="I476" s="136"/>
      <c r="J476" s="136"/>
      <c r="K476" s="136"/>
      <c r="L476" s="136"/>
      <c r="M476" s="136"/>
      <c r="N476" s="136" t="e">
        <f t="shared" si="19"/>
        <v>#N/A</v>
      </c>
      <c r="O476" s="136" t="e">
        <f t="shared" si="20"/>
        <v>#N/A</v>
      </c>
    </row>
    <row r="477" spans="1:15" ht="22.05" customHeight="1" x14ac:dyDescent="0.3">
      <c r="A477" s="136">
        <v>433</v>
      </c>
      <c r="B477" s="165" t="str">
        <f>IF($A477&gt;MIN($A$10,$A$2),"",INDEX(DemoHistory[Date],$A477))</f>
        <v/>
      </c>
      <c r="C477" s="166" t="str">
        <f>IF(OR($A477&gt;MIN($A$10,$A$2),$A$5=""),"",INDEX(DemoHistory[],$A477,MATCH($A$5,DemoHistory[#Headers],0)))</f>
        <v/>
      </c>
      <c r="D477" s="166" t="str">
        <f>IF($A477&gt;MIN($A$10,$A$2),"",IF(AND($A$12,$A$6=1,B477&lt;$A$7,$A$7&lt;=MAX(DemoHistory[Date])),$A$8,1))</f>
        <v/>
      </c>
      <c r="E477" s="166" t="str">
        <f t="shared" si="18"/>
        <v/>
      </c>
      <c r="F477" s="166" t="str">
        <f>IF($A477&gt;MIN($A$10,$A$2),"",IF($A477&lt;50,"n.a.",IF(COUNT(INDEX(StockDaily[Adjusted close],MAX(1,$A477-50+1)):E477)=50,AVERAGE(INDEX(StockDaily[Adjusted close],MAX(1,$A477-50+1)):E477),"n.a.")))</f>
        <v/>
      </c>
      <c r="G477" s="166" t="str">
        <f>IF($A477&gt;MIN($A$10,$A$2),"",IF($A477&lt;200,"n.a.",IF(COUNT(INDEX(StockDaily[Adjusted close],MAX(1,$A477-200+1)):E477)=200,AVERAGE(INDEX(StockDaily[Adjusted close],MAX(1,$A477-200+1)):E477),"n.a.")))</f>
        <v/>
      </c>
      <c r="H477" s="136" t="str">
        <f>IF($A477&gt;MIN($A$10,$A$2),"",IF($A$5="","Choose stock",IF(NOT($A$12),"Check split rule",IF(NOT(ISNUMBER(B477)),"Invalid date",IF(OR(B477&lt;=0,B477&lt;&gt;INT(B477)),"Invalid date",IF(COUNTIFS(DemoHistory[Date],B477)&lt;&gt;1,"Duplicate date",IF(AND($A477&gt;1,B477&lt;=B476),"Dates out of order",IF(NOT(ISNUMBER(C477)),"Missing price",IF(C477&lt;=0,"Nonpositive price","OK")))))))))</f>
        <v/>
      </c>
      <c r="I477" s="136"/>
      <c r="J477" s="136"/>
      <c r="K477" s="136"/>
      <c r="L477" s="136"/>
      <c r="M477" s="136"/>
      <c r="N477" s="136" t="e">
        <f t="shared" si="19"/>
        <v>#N/A</v>
      </c>
      <c r="O477" s="136" t="e">
        <f t="shared" si="20"/>
        <v>#N/A</v>
      </c>
    </row>
    <row r="478" spans="1:15" ht="22.05" customHeight="1" x14ac:dyDescent="0.3">
      <c r="A478" s="136">
        <v>434</v>
      </c>
      <c r="B478" s="165" t="str">
        <f>IF($A478&gt;MIN($A$10,$A$2),"",INDEX(DemoHistory[Date],$A478))</f>
        <v/>
      </c>
      <c r="C478" s="166" t="str">
        <f>IF(OR($A478&gt;MIN($A$10,$A$2),$A$5=""),"",INDEX(DemoHistory[],$A478,MATCH($A$5,DemoHistory[#Headers],0)))</f>
        <v/>
      </c>
      <c r="D478" s="166" t="str">
        <f>IF($A478&gt;MIN($A$10,$A$2),"",IF(AND($A$12,$A$6=1,B478&lt;$A$7,$A$7&lt;=MAX(DemoHistory[Date])),$A$8,1))</f>
        <v/>
      </c>
      <c r="E478" s="166" t="str">
        <f t="shared" si="18"/>
        <v/>
      </c>
      <c r="F478" s="166" t="str">
        <f>IF($A478&gt;MIN($A$10,$A$2),"",IF($A478&lt;50,"n.a.",IF(COUNT(INDEX(StockDaily[Adjusted close],MAX(1,$A478-50+1)):E478)=50,AVERAGE(INDEX(StockDaily[Adjusted close],MAX(1,$A478-50+1)):E478),"n.a.")))</f>
        <v/>
      </c>
      <c r="G478" s="166" t="str">
        <f>IF($A478&gt;MIN($A$10,$A$2),"",IF($A478&lt;200,"n.a.",IF(COUNT(INDEX(StockDaily[Adjusted close],MAX(1,$A478-200+1)):E478)=200,AVERAGE(INDEX(StockDaily[Adjusted close],MAX(1,$A478-200+1)):E478),"n.a.")))</f>
        <v/>
      </c>
      <c r="H478" s="136" t="str">
        <f>IF($A478&gt;MIN($A$10,$A$2),"",IF($A$5="","Choose stock",IF(NOT($A$12),"Check split rule",IF(NOT(ISNUMBER(B478)),"Invalid date",IF(OR(B478&lt;=0,B478&lt;&gt;INT(B478)),"Invalid date",IF(COUNTIFS(DemoHistory[Date],B478)&lt;&gt;1,"Duplicate date",IF(AND($A478&gt;1,B478&lt;=B477),"Dates out of order",IF(NOT(ISNUMBER(C478)),"Missing price",IF(C478&lt;=0,"Nonpositive price","OK")))))))))</f>
        <v/>
      </c>
      <c r="I478" s="136"/>
      <c r="J478" s="136"/>
      <c r="K478" s="136"/>
      <c r="L478" s="136"/>
      <c r="M478" s="136"/>
      <c r="N478" s="136" t="e">
        <f t="shared" si="19"/>
        <v>#N/A</v>
      </c>
      <c r="O478" s="136" t="e">
        <f t="shared" si="20"/>
        <v>#N/A</v>
      </c>
    </row>
    <row r="479" spans="1:15" ht="22.05" customHeight="1" x14ac:dyDescent="0.3">
      <c r="A479" s="136">
        <v>435</v>
      </c>
      <c r="B479" s="165" t="str">
        <f>IF($A479&gt;MIN($A$10,$A$2),"",INDEX(DemoHistory[Date],$A479))</f>
        <v/>
      </c>
      <c r="C479" s="166" t="str">
        <f>IF(OR($A479&gt;MIN($A$10,$A$2),$A$5=""),"",INDEX(DemoHistory[],$A479,MATCH($A$5,DemoHistory[#Headers],0)))</f>
        <v/>
      </c>
      <c r="D479" s="166" t="str">
        <f>IF($A479&gt;MIN($A$10,$A$2),"",IF(AND($A$12,$A$6=1,B479&lt;$A$7,$A$7&lt;=MAX(DemoHistory[Date])),$A$8,1))</f>
        <v/>
      </c>
      <c r="E479" s="166" t="str">
        <f t="shared" si="18"/>
        <v/>
      </c>
      <c r="F479" s="166" t="str">
        <f>IF($A479&gt;MIN($A$10,$A$2),"",IF($A479&lt;50,"n.a.",IF(COUNT(INDEX(StockDaily[Adjusted close],MAX(1,$A479-50+1)):E479)=50,AVERAGE(INDEX(StockDaily[Adjusted close],MAX(1,$A479-50+1)):E479),"n.a.")))</f>
        <v/>
      </c>
      <c r="G479" s="166" t="str">
        <f>IF($A479&gt;MIN($A$10,$A$2),"",IF($A479&lt;200,"n.a.",IF(COUNT(INDEX(StockDaily[Adjusted close],MAX(1,$A479-200+1)):E479)=200,AVERAGE(INDEX(StockDaily[Adjusted close],MAX(1,$A479-200+1)):E479),"n.a.")))</f>
        <v/>
      </c>
      <c r="H479" s="136" t="str">
        <f>IF($A479&gt;MIN($A$10,$A$2),"",IF($A$5="","Choose stock",IF(NOT($A$12),"Check split rule",IF(NOT(ISNUMBER(B479)),"Invalid date",IF(OR(B479&lt;=0,B479&lt;&gt;INT(B479)),"Invalid date",IF(COUNTIFS(DemoHistory[Date],B479)&lt;&gt;1,"Duplicate date",IF(AND($A479&gt;1,B479&lt;=B478),"Dates out of order",IF(NOT(ISNUMBER(C479)),"Missing price",IF(C479&lt;=0,"Nonpositive price","OK")))))))))</f>
        <v/>
      </c>
      <c r="I479" s="136"/>
      <c r="J479" s="136"/>
      <c r="K479" s="136"/>
      <c r="L479" s="136"/>
      <c r="M479" s="136"/>
      <c r="N479" s="136" t="e">
        <f t="shared" si="19"/>
        <v>#N/A</v>
      </c>
      <c r="O479" s="136" t="e">
        <f t="shared" si="20"/>
        <v>#N/A</v>
      </c>
    </row>
    <row r="480" spans="1:15" ht="22.05" customHeight="1" x14ac:dyDescent="0.3">
      <c r="A480" s="136">
        <v>436</v>
      </c>
      <c r="B480" s="165" t="str">
        <f>IF($A480&gt;MIN($A$10,$A$2),"",INDEX(DemoHistory[Date],$A480))</f>
        <v/>
      </c>
      <c r="C480" s="166" t="str">
        <f>IF(OR($A480&gt;MIN($A$10,$A$2),$A$5=""),"",INDEX(DemoHistory[],$A480,MATCH($A$5,DemoHistory[#Headers],0)))</f>
        <v/>
      </c>
      <c r="D480" s="166" t="str">
        <f>IF($A480&gt;MIN($A$10,$A$2),"",IF(AND($A$12,$A$6=1,B480&lt;$A$7,$A$7&lt;=MAX(DemoHistory[Date])),$A$8,1))</f>
        <v/>
      </c>
      <c r="E480" s="166" t="str">
        <f t="shared" si="18"/>
        <v/>
      </c>
      <c r="F480" s="166" t="str">
        <f>IF($A480&gt;MIN($A$10,$A$2),"",IF($A480&lt;50,"n.a.",IF(COUNT(INDEX(StockDaily[Adjusted close],MAX(1,$A480-50+1)):E480)=50,AVERAGE(INDEX(StockDaily[Adjusted close],MAX(1,$A480-50+1)):E480),"n.a.")))</f>
        <v/>
      </c>
      <c r="G480" s="166" t="str">
        <f>IF($A480&gt;MIN($A$10,$A$2),"",IF($A480&lt;200,"n.a.",IF(COUNT(INDEX(StockDaily[Adjusted close],MAX(1,$A480-200+1)):E480)=200,AVERAGE(INDEX(StockDaily[Adjusted close],MAX(1,$A480-200+1)):E480),"n.a.")))</f>
        <v/>
      </c>
      <c r="H480" s="136" t="str">
        <f>IF($A480&gt;MIN($A$10,$A$2),"",IF($A$5="","Choose stock",IF(NOT($A$12),"Check split rule",IF(NOT(ISNUMBER(B480)),"Invalid date",IF(OR(B480&lt;=0,B480&lt;&gt;INT(B480)),"Invalid date",IF(COUNTIFS(DemoHistory[Date],B480)&lt;&gt;1,"Duplicate date",IF(AND($A480&gt;1,B480&lt;=B479),"Dates out of order",IF(NOT(ISNUMBER(C480)),"Missing price",IF(C480&lt;=0,"Nonpositive price","OK")))))))))</f>
        <v/>
      </c>
      <c r="I480" s="136"/>
      <c r="J480" s="136"/>
      <c r="K480" s="136"/>
      <c r="L480" s="136"/>
      <c r="M480" s="136"/>
      <c r="N480" s="136" t="e">
        <f t="shared" si="19"/>
        <v>#N/A</v>
      </c>
      <c r="O480" s="136" t="e">
        <f t="shared" si="20"/>
        <v>#N/A</v>
      </c>
    </row>
    <row r="481" spans="1:15" ht="22.05" customHeight="1" x14ac:dyDescent="0.3">
      <c r="A481" s="136">
        <v>437</v>
      </c>
      <c r="B481" s="165" t="str">
        <f>IF($A481&gt;MIN($A$10,$A$2),"",INDEX(DemoHistory[Date],$A481))</f>
        <v/>
      </c>
      <c r="C481" s="166" t="str">
        <f>IF(OR($A481&gt;MIN($A$10,$A$2),$A$5=""),"",INDEX(DemoHistory[],$A481,MATCH($A$5,DemoHistory[#Headers],0)))</f>
        <v/>
      </c>
      <c r="D481" s="166" t="str">
        <f>IF($A481&gt;MIN($A$10,$A$2),"",IF(AND($A$12,$A$6=1,B481&lt;$A$7,$A$7&lt;=MAX(DemoHistory[Date])),$A$8,1))</f>
        <v/>
      </c>
      <c r="E481" s="166" t="str">
        <f t="shared" si="18"/>
        <v/>
      </c>
      <c r="F481" s="166" t="str">
        <f>IF($A481&gt;MIN($A$10,$A$2),"",IF($A481&lt;50,"n.a.",IF(COUNT(INDEX(StockDaily[Adjusted close],MAX(1,$A481-50+1)):E481)=50,AVERAGE(INDEX(StockDaily[Adjusted close],MAX(1,$A481-50+1)):E481),"n.a.")))</f>
        <v/>
      </c>
      <c r="G481" s="166" t="str">
        <f>IF($A481&gt;MIN($A$10,$A$2),"",IF($A481&lt;200,"n.a.",IF(COUNT(INDEX(StockDaily[Adjusted close],MAX(1,$A481-200+1)):E481)=200,AVERAGE(INDEX(StockDaily[Adjusted close],MAX(1,$A481-200+1)):E481),"n.a.")))</f>
        <v/>
      </c>
      <c r="H481" s="136" t="str">
        <f>IF($A481&gt;MIN($A$10,$A$2),"",IF($A$5="","Choose stock",IF(NOT($A$12),"Check split rule",IF(NOT(ISNUMBER(B481)),"Invalid date",IF(OR(B481&lt;=0,B481&lt;&gt;INT(B481)),"Invalid date",IF(COUNTIFS(DemoHistory[Date],B481)&lt;&gt;1,"Duplicate date",IF(AND($A481&gt;1,B481&lt;=B480),"Dates out of order",IF(NOT(ISNUMBER(C481)),"Missing price",IF(C481&lt;=0,"Nonpositive price","OK")))))))))</f>
        <v/>
      </c>
      <c r="I481" s="136"/>
      <c r="J481" s="136"/>
      <c r="K481" s="136"/>
      <c r="L481" s="136"/>
      <c r="M481" s="136"/>
      <c r="N481" s="136" t="e">
        <f t="shared" si="19"/>
        <v>#N/A</v>
      </c>
      <c r="O481" s="136" t="e">
        <f t="shared" si="20"/>
        <v>#N/A</v>
      </c>
    </row>
    <row r="482" spans="1:15" ht="22.05" customHeight="1" x14ac:dyDescent="0.3">
      <c r="A482" s="136">
        <v>438</v>
      </c>
      <c r="B482" s="165" t="str">
        <f>IF($A482&gt;MIN($A$10,$A$2),"",INDEX(DemoHistory[Date],$A482))</f>
        <v/>
      </c>
      <c r="C482" s="166" t="str">
        <f>IF(OR($A482&gt;MIN($A$10,$A$2),$A$5=""),"",INDEX(DemoHistory[],$A482,MATCH($A$5,DemoHistory[#Headers],0)))</f>
        <v/>
      </c>
      <c r="D482" s="166" t="str">
        <f>IF($A482&gt;MIN($A$10,$A$2),"",IF(AND($A$12,$A$6=1,B482&lt;$A$7,$A$7&lt;=MAX(DemoHistory[Date])),$A$8,1))</f>
        <v/>
      </c>
      <c r="E482" s="166" t="str">
        <f t="shared" si="18"/>
        <v/>
      </c>
      <c r="F482" s="166" t="str">
        <f>IF($A482&gt;MIN($A$10,$A$2),"",IF($A482&lt;50,"n.a.",IF(COUNT(INDEX(StockDaily[Adjusted close],MAX(1,$A482-50+1)):E482)=50,AVERAGE(INDEX(StockDaily[Adjusted close],MAX(1,$A482-50+1)):E482),"n.a.")))</f>
        <v/>
      </c>
      <c r="G482" s="166" t="str">
        <f>IF($A482&gt;MIN($A$10,$A$2),"",IF($A482&lt;200,"n.a.",IF(COUNT(INDEX(StockDaily[Adjusted close],MAX(1,$A482-200+1)):E482)=200,AVERAGE(INDEX(StockDaily[Adjusted close],MAX(1,$A482-200+1)):E482),"n.a.")))</f>
        <v/>
      </c>
      <c r="H482" s="136" t="str">
        <f>IF($A482&gt;MIN($A$10,$A$2),"",IF($A$5="","Choose stock",IF(NOT($A$12),"Check split rule",IF(NOT(ISNUMBER(B482)),"Invalid date",IF(OR(B482&lt;=0,B482&lt;&gt;INT(B482)),"Invalid date",IF(COUNTIFS(DemoHistory[Date],B482)&lt;&gt;1,"Duplicate date",IF(AND($A482&gt;1,B482&lt;=B481),"Dates out of order",IF(NOT(ISNUMBER(C482)),"Missing price",IF(C482&lt;=0,"Nonpositive price","OK")))))))))</f>
        <v/>
      </c>
      <c r="I482" s="136"/>
      <c r="J482" s="136"/>
      <c r="K482" s="136"/>
      <c r="L482" s="136"/>
      <c r="M482" s="136"/>
      <c r="N482" s="136" t="e">
        <f t="shared" si="19"/>
        <v>#N/A</v>
      </c>
      <c r="O482" s="136" t="e">
        <f t="shared" si="20"/>
        <v>#N/A</v>
      </c>
    </row>
    <row r="483" spans="1:15" ht="22.05" customHeight="1" x14ac:dyDescent="0.3">
      <c r="A483" s="136">
        <v>439</v>
      </c>
      <c r="B483" s="165" t="str">
        <f>IF($A483&gt;MIN($A$10,$A$2),"",INDEX(DemoHistory[Date],$A483))</f>
        <v/>
      </c>
      <c r="C483" s="166" t="str">
        <f>IF(OR($A483&gt;MIN($A$10,$A$2),$A$5=""),"",INDEX(DemoHistory[],$A483,MATCH($A$5,DemoHistory[#Headers],0)))</f>
        <v/>
      </c>
      <c r="D483" s="166" t="str">
        <f>IF($A483&gt;MIN($A$10,$A$2),"",IF(AND($A$12,$A$6=1,B483&lt;$A$7,$A$7&lt;=MAX(DemoHistory[Date])),$A$8,1))</f>
        <v/>
      </c>
      <c r="E483" s="166" t="str">
        <f t="shared" si="18"/>
        <v/>
      </c>
      <c r="F483" s="166" t="str">
        <f>IF($A483&gt;MIN($A$10,$A$2),"",IF($A483&lt;50,"n.a.",IF(COUNT(INDEX(StockDaily[Adjusted close],MAX(1,$A483-50+1)):E483)=50,AVERAGE(INDEX(StockDaily[Adjusted close],MAX(1,$A483-50+1)):E483),"n.a.")))</f>
        <v/>
      </c>
      <c r="G483" s="166" t="str">
        <f>IF($A483&gt;MIN($A$10,$A$2),"",IF($A483&lt;200,"n.a.",IF(COUNT(INDEX(StockDaily[Adjusted close],MAX(1,$A483-200+1)):E483)=200,AVERAGE(INDEX(StockDaily[Adjusted close],MAX(1,$A483-200+1)):E483),"n.a.")))</f>
        <v/>
      </c>
      <c r="H483" s="136" t="str">
        <f>IF($A483&gt;MIN($A$10,$A$2),"",IF($A$5="","Choose stock",IF(NOT($A$12),"Check split rule",IF(NOT(ISNUMBER(B483)),"Invalid date",IF(OR(B483&lt;=0,B483&lt;&gt;INT(B483)),"Invalid date",IF(COUNTIFS(DemoHistory[Date],B483)&lt;&gt;1,"Duplicate date",IF(AND($A483&gt;1,B483&lt;=B482),"Dates out of order",IF(NOT(ISNUMBER(C483)),"Missing price",IF(C483&lt;=0,"Nonpositive price","OK")))))))))</f>
        <v/>
      </c>
      <c r="I483" s="136"/>
      <c r="J483" s="136"/>
      <c r="K483" s="136"/>
      <c r="L483" s="136"/>
      <c r="M483" s="136"/>
      <c r="N483" s="136" t="e">
        <f t="shared" si="19"/>
        <v>#N/A</v>
      </c>
      <c r="O483" s="136" t="e">
        <f t="shared" si="20"/>
        <v>#N/A</v>
      </c>
    </row>
    <row r="484" spans="1:15" ht="22.05" customHeight="1" x14ac:dyDescent="0.3">
      <c r="A484" s="136">
        <v>440</v>
      </c>
      <c r="B484" s="165" t="str">
        <f>IF($A484&gt;MIN($A$10,$A$2),"",INDEX(DemoHistory[Date],$A484))</f>
        <v/>
      </c>
      <c r="C484" s="166" t="str">
        <f>IF(OR($A484&gt;MIN($A$10,$A$2),$A$5=""),"",INDEX(DemoHistory[],$A484,MATCH($A$5,DemoHistory[#Headers],0)))</f>
        <v/>
      </c>
      <c r="D484" s="166" t="str">
        <f>IF($A484&gt;MIN($A$10,$A$2),"",IF(AND($A$12,$A$6=1,B484&lt;$A$7,$A$7&lt;=MAX(DemoHistory[Date])),$A$8,1))</f>
        <v/>
      </c>
      <c r="E484" s="166" t="str">
        <f t="shared" si="18"/>
        <v/>
      </c>
      <c r="F484" s="166" t="str">
        <f>IF($A484&gt;MIN($A$10,$A$2),"",IF($A484&lt;50,"n.a.",IF(COUNT(INDEX(StockDaily[Adjusted close],MAX(1,$A484-50+1)):E484)=50,AVERAGE(INDEX(StockDaily[Adjusted close],MAX(1,$A484-50+1)):E484),"n.a.")))</f>
        <v/>
      </c>
      <c r="G484" s="166" t="str">
        <f>IF($A484&gt;MIN($A$10,$A$2),"",IF($A484&lt;200,"n.a.",IF(COUNT(INDEX(StockDaily[Adjusted close],MAX(1,$A484-200+1)):E484)=200,AVERAGE(INDEX(StockDaily[Adjusted close],MAX(1,$A484-200+1)):E484),"n.a.")))</f>
        <v/>
      </c>
      <c r="H484" s="136" t="str">
        <f>IF($A484&gt;MIN($A$10,$A$2),"",IF($A$5="","Choose stock",IF(NOT($A$12),"Check split rule",IF(NOT(ISNUMBER(B484)),"Invalid date",IF(OR(B484&lt;=0,B484&lt;&gt;INT(B484)),"Invalid date",IF(COUNTIFS(DemoHistory[Date],B484)&lt;&gt;1,"Duplicate date",IF(AND($A484&gt;1,B484&lt;=B483),"Dates out of order",IF(NOT(ISNUMBER(C484)),"Missing price",IF(C484&lt;=0,"Nonpositive price","OK")))))))))</f>
        <v/>
      </c>
      <c r="I484" s="136"/>
      <c r="J484" s="136"/>
      <c r="K484" s="136"/>
      <c r="L484" s="136"/>
      <c r="M484" s="136"/>
      <c r="N484" s="136" t="e">
        <f t="shared" si="19"/>
        <v>#N/A</v>
      </c>
      <c r="O484" s="136" t="e">
        <f t="shared" si="20"/>
        <v>#N/A</v>
      </c>
    </row>
    <row r="485" spans="1:15" ht="22.05" customHeight="1" x14ac:dyDescent="0.3">
      <c r="A485" s="136">
        <v>441</v>
      </c>
      <c r="B485" s="165" t="str">
        <f>IF($A485&gt;MIN($A$10,$A$2),"",INDEX(DemoHistory[Date],$A485))</f>
        <v/>
      </c>
      <c r="C485" s="166" t="str">
        <f>IF(OR($A485&gt;MIN($A$10,$A$2),$A$5=""),"",INDEX(DemoHistory[],$A485,MATCH($A$5,DemoHistory[#Headers],0)))</f>
        <v/>
      </c>
      <c r="D485" s="166" t="str">
        <f>IF($A485&gt;MIN($A$10,$A$2),"",IF(AND($A$12,$A$6=1,B485&lt;$A$7,$A$7&lt;=MAX(DemoHistory[Date])),$A$8,1))</f>
        <v/>
      </c>
      <c r="E485" s="166" t="str">
        <f t="shared" si="18"/>
        <v/>
      </c>
      <c r="F485" s="166" t="str">
        <f>IF($A485&gt;MIN($A$10,$A$2),"",IF($A485&lt;50,"n.a.",IF(COUNT(INDEX(StockDaily[Adjusted close],MAX(1,$A485-50+1)):E485)=50,AVERAGE(INDEX(StockDaily[Adjusted close],MAX(1,$A485-50+1)):E485),"n.a.")))</f>
        <v/>
      </c>
      <c r="G485" s="166" t="str">
        <f>IF($A485&gt;MIN($A$10,$A$2),"",IF($A485&lt;200,"n.a.",IF(COUNT(INDEX(StockDaily[Adjusted close],MAX(1,$A485-200+1)):E485)=200,AVERAGE(INDEX(StockDaily[Adjusted close],MAX(1,$A485-200+1)):E485),"n.a.")))</f>
        <v/>
      </c>
      <c r="H485" s="136" t="str">
        <f>IF($A485&gt;MIN($A$10,$A$2),"",IF($A$5="","Choose stock",IF(NOT($A$12),"Check split rule",IF(NOT(ISNUMBER(B485)),"Invalid date",IF(OR(B485&lt;=0,B485&lt;&gt;INT(B485)),"Invalid date",IF(COUNTIFS(DemoHistory[Date],B485)&lt;&gt;1,"Duplicate date",IF(AND($A485&gt;1,B485&lt;=B484),"Dates out of order",IF(NOT(ISNUMBER(C485)),"Missing price",IF(C485&lt;=0,"Nonpositive price","OK")))))))))</f>
        <v/>
      </c>
      <c r="I485" s="136"/>
      <c r="J485" s="136"/>
      <c r="K485" s="136"/>
      <c r="L485" s="136"/>
      <c r="M485" s="136"/>
      <c r="N485" s="136" t="e">
        <f t="shared" si="19"/>
        <v>#N/A</v>
      </c>
      <c r="O485" s="136" t="e">
        <f t="shared" si="20"/>
        <v>#N/A</v>
      </c>
    </row>
    <row r="486" spans="1:15" ht="22.05" customHeight="1" x14ac:dyDescent="0.3">
      <c r="A486" s="136">
        <v>442</v>
      </c>
      <c r="B486" s="165" t="str">
        <f>IF($A486&gt;MIN($A$10,$A$2),"",INDEX(DemoHistory[Date],$A486))</f>
        <v/>
      </c>
      <c r="C486" s="166" t="str">
        <f>IF(OR($A486&gt;MIN($A$10,$A$2),$A$5=""),"",INDEX(DemoHistory[],$A486,MATCH($A$5,DemoHistory[#Headers],0)))</f>
        <v/>
      </c>
      <c r="D486" s="166" t="str">
        <f>IF($A486&gt;MIN($A$10,$A$2),"",IF(AND($A$12,$A$6=1,B486&lt;$A$7,$A$7&lt;=MAX(DemoHistory[Date])),$A$8,1))</f>
        <v/>
      </c>
      <c r="E486" s="166" t="str">
        <f t="shared" si="18"/>
        <v/>
      </c>
      <c r="F486" s="166" t="str">
        <f>IF($A486&gt;MIN($A$10,$A$2),"",IF($A486&lt;50,"n.a.",IF(COUNT(INDEX(StockDaily[Adjusted close],MAX(1,$A486-50+1)):E486)=50,AVERAGE(INDEX(StockDaily[Adjusted close],MAX(1,$A486-50+1)):E486),"n.a.")))</f>
        <v/>
      </c>
      <c r="G486" s="166" t="str">
        <f>IF($A486&gt;MIN($A$10,$A$2),"",IF($A486&lt;200,"n.a.",IF(COUNT(INDEX(StockDaily[Adjusted close],MAX(1,$A486-200+1)):E486)=200,AVERAGE(INDEX(StockDaily[Adjusted close],MAX(1,$A486-200+1)):E486),"n.a.")))</f>
        <v/>
      </c>
      <c r="H486" s="136" t="str">
        <f>IF($A486&gt;MIN($A$10,$A$2),"",IF($A$5="","Choose stock",IF(NOT($A$12),"Check split rule",IF(NOT(ISNUMBER(B486)),"Invalid date",IF(OR(B486&lt;=0,B486&lt;&gt;INT(B486)),"Invalid date",IF(COUNTIFS(DemoHistory[Date],B486)&lt;&gt;1,"Duplicate date",IF(AND($A486&gt;1,B486&lt;=B485),"Dates out of order",IF(NOT(ISNUMBER(C486)),"Missing price",IF(C486&lt;=0,"Nonpositive price","OK")))))))))</f>
        <v/>
      </c>
      <c r="I486" s="136"/>
      <c r="J486" s="136"/>
      <c r="K486" s="136"/>
      <c r="L486" s="136"/>
      <c r="M486" s="136"/>
      <c r="N486" s="136" t="e">
        <f t="shared" si="19"/>
        <v>#N/A</v>
      </c>
      <c r="O486" s="136" t="e">
        <f t="shared" si="20"/>
        <v>#N/A</v>
      </c>
    </row>
    <row r="487" spans="1:15" ht="22.05" customHeight="1" x14ac:dyDescent="0.3">
      <c r="A487" s="136">
        <v>443</v>
      </c>
      <c r="B487" s="165" t="str">
        <f>IF($A487&gt;MIN($A$10,$A$2),"",INDEX(DemoHistory[Date],$A487))</f>
        <v/>
      </c>
      <c r="C487" s="166" t="str">
        <f>IF(OR($A487&gt;MIN($A$10,$A$2),$A$5=""),"",INDEX(DemoHistory[],$A487,MATCH($A$5,DemoHistory[#Headers],0)))</f>
        <v/>
      </c>
      <c r="D487" s="166" t="str">
        <f>IF($A487&gt;MIN($A$10,$A$2),"",IF(AND($A$12,$A$6=1,B487&lt;$A$7,$A$7&lt;=MAX(DemoHistory[Date])),$A$8,1))</f>
        <v/>
      </c>
      <c r="E487" s="166" t="str">
        <f t="shared" si="18"/>
        <v/>
      </c>
      <c r="F487" s="166" t="str">
        <f>IF($A487&gt;MIN($A$10,$A$2),"",IF($A487&lt;50,"n.a.",IF(COUNT(INDEX(StockDaily[Adjusted close],MAX(1,$A487-50+1)):E487)=50,AVERAGE(INDEX(StockDaily[Adjusted close],MAX(1,$A487-50+1)):E487),"n.a.")))</f>
        <v/>
      </c>
      <c r="G487" s="166" t="str">
        <f>IF($A487&gt;MIN($A$10,$A$2),"",IF($A487&lt;200,"n.a.",IF(COUNT(INDEX(StockDaily[Adjusted close],MAX(1,$A487-200+1)):E487)=200,AVERAGE(INDEX(StockDaily[Adjusted close],MAX(1,$A487-200+1)):E487),"n.a.")))</f>
        <v/>
      </c>
      <c r="H487" s="136" t="str">
        <f>IF($A487&gt;MIN($A$10,$A$2),"",IF($A$5="","Choose stock",IF(NOT($A$12),"Check split rule",IF(NOT(ISNUMBER(B487)),"Invalid date",IF(OR(B487&lt;=0,B487&lt;&gt;INT(B487)),"Invalid date",IF(COUNTIFS(DemoHistory[Date],B487)&lt;&gt;1,"Duplicate date",IF(AND($A487&gt;1,B487&lt;=B486),"Dates out of order",IF(NOT(ISNUMBER(C487)),"Missing price",IF(C487&lt;=0,"Nonpositive price","OK")))))))))</f>
        <v/>
      </c>
      <c r="I487" s="136"/>
      <c r="J487" s="136"/>
      <c r="K487" s="136"/>
      <c r="L487" s="136"/>
      <c r="M487" s="136"/>
      <c r="N487" s="136" t="e">
        <f t="shared" si="19"/>
        <v>#N/A</v>
      </c>
      <c r="O487" s="136" t="e">
        <f t="shared" si="20"/>
        <v>#N/A</v>
      </c>
    </row>
    <row r="488" spans="1:15" ht="22.05" customHeight="1" x14ac:dyDescent="0.3">
      <c r="A488" s="136">
        <v>444</v>
      </c>
      <c r="B488" s="165" t="str">
        <f>IF($A488&gt;MIN($A$10,$A$2),"",INDEX(DemoHistory[Date],$A488))</f>
        <v/>
      </c>
      <c r="C488" s="166" t="str">
        <f>IF(OR($A488&gt;MIN($A$10,$A$2),$A$5=""),"",INDEX(DemoHistory[],$A488,MATCH($A$5,DemoHistory[#Headers],0)))</f>
        <v/>
      </c>
      <c r="D488" s="166" t="str">
        <f>IF($A488&gt;MIN($A$10,$A$2),"",IF(AND($A$12,$A$6=1,B488&lt;$A$7,$A$7&lt;=MAX(DemoHistory[Date])),$A$8,1))</f>
        <v/>
      </c>
      <c r="E488" s="166" t="str">
        <f t="shared" si="18"/>
        <v/>
      </c>
      <c r="F488" s="166" t="str">
        <f>IF($A488&gt;MIN($A$10,$A$2),"",IF($A488&lt;50,"n.a.",IF(COUNT(INDEX(StockDaily[Adjusted close],MAX(1,$A488-50+1)):E488)=50,AVERAGE(INDEX(StockDaily[Adjusted close],MAX(1,$A488-50+1)):E488),"n.a.")))</f>
        <v/>
      </c>
      <c r="G488" s="166" t="str">
        <f>IF($A488&gt;MIN($A$10,$A$2),"",IF($A488&lt;200,"n.a.",IF(COUNT(INDEX(StockDaily[Adjusted close],MAX(1,$A488-200+1)):E488)=200,AVERAGE(INDEX(StockDaily[Adjusted close],MAX(1,$A488-200+1)):E488),"n.a.")))</f>
        <v/>
      </c>
      <c r="H488" s="136" t="str">
        <f>IF($A488&gt;MIN($A$10,$A$2),"",IF($A$5="","Choose stock",IF(NOT($A$12),"Check split rule",IF(NOT(ISNUMBER(B488)),"Invalid date",IF(OR(B488&lt;=0,B488&lt;&gt;INT(B488)),"Invalid date",IF(COUNTIFS(DemoHistory[Date],B488)&lt;&gt;1,"Duplicate date",IF(AND($A488&gt;1,B488&lt;=B487),"Dates out of order",IF(NOT(ISNUMBER(C488)),"Missing price",IF(C488&lt;=0,"Nonpositive price","OK")))))))))</f>
        <v/>
      </c>
      <c r="I488" s="136"/>
      <c r="J488" s="136"/>
      <c r="K488" s="136"/>
      <c r="L488" s="136"/>
      <c r="M488" s="136"/>
      <c r="N488" s="136" t="e">
        <f t="shared" si="19"/>
        <v>#N/A</v>
      </c>
      <c r="O488" s="136" t="e">
        <f t="shared" si="20"/>
        <v>#N/A</v>
      </c>
    </row>
    <row r="489" spans="1:15" ht="22.05" customHeight="1" x14ac:dyDescent="0.3">
      <c r="A489" s="136">
        <v>445</v>
      </c>
      <c r="B489" s="165" t="str">
        <f>IF($A489&gt;MIN($A$10,$A$2),"",INDEX(DemoHistory[Date],$A489))</f>
        <v/>
      </c>
      <c r="C489" s="166" t="str">
        <f>IF(OR($A489&gt;MIN($A$10,$A$2),$A$5=""),"",INDEX(DemoHistory[],$A489,MATCH($A$5,DemoHistory[#Headers],0)))</f>
        <v/>
      </c>
      <c r="D489" s="166" t="str">
        <f>IF($A489&gt;MIN($A$10,$A$2),"",IF(AND($A$12,$A$6=1,B489&lt;$A$7,$A$7&lt;=MAX(DemoHistory[Date])),$A$8,1))</f>
        <v/>
      </c>
      <c r="E489" s="166" t="str">
        <f t="shared" si="18"/>
        <v/>
      </c>
      <c r="F489" s="166" t="str">
        <f>IF($A489&gt;MIN($A$10,$A$2),"",IF($A489&lt;50,"n.a.",IF(COUNT(INDEX(StockDaily[Adjusted close],MAX(1,$A489-50+1)):E489)=50,AVERAGE(INDEX(StockDaily[Adjusted close],MAX(1,$A489-50+1)):E489),"n.a.")))</f>
        <v/>
      </c>
      <c r="G489" s="166" t="str">
        <f>IF($A489&gt;MIN($A$10,$A$2),"",IF($A489&lt;200,"n.a.",IF(COUNT(INDEX(StockDaily[Adjusted close],MAX(1,$A489-200+1)):E489)=200,AVERAGE(INDEX(StockDaily[Adjusted close],MAX(1,$A489-200+1)):E489),"n.a.")))</f>
        <v/>
      </c>
      <c r="H489" s="136" t="str">
        <f>IF($A489&gt;MIN($A$10,$A$2),"",IF($A$5="","Choose stock",IF(NOT($A$12),"Check split rule",IF(NOT(ISNUMBER(B489)),"Invalid date",IF(OR(B489&lt;=0,B489&lt;&gt;INT(B489)),"Invalid date",IF(COUNTIFS(DemoHistory[Date],B489)&lt;&gt;1,"Duplicate date",IF(AND($A489&gt;1,B489&lt;=B488),"Dates out of order",IF(NOT(ISNUMBER(C489)),"Missing price",IF(C489&lt;=0,"Nonpositive price","OK")))))))))</f>
        <v/>
      </c>
      <c r="I489" s="136"/>
      <c r="J489" s="136"/>
      <c r="K489" s="136"/>
      <c r="L489" s="136"/>
      <c r="M489" s="136"/>
      <c r="N489" s="136" t="e">
        <f t="shared" si="19"/>
        <v>#N/A</v>
      </c>
      <c r="O489" s="136" t="e">
        <f t="shared" si="20"/>
        <v>#N/A</v>
      </c>
    </row>
    <row r="490" spans="1:15" ht="22.05" customHeight="1" x14ac:dyDescent="0.3">
      <c r="A490" s="136">
        <v>446</v>
      </c>
      <c r="B490" s="165" t="str">
        <f>IF($A490&gt;MIN($A$10,$A$2),"",INDEX(DemoHistory[Date],$A490))</f>
        <v/>
      </c>
      <c r="C490" s="166" t="str">
        <f>IF(OR($A490&gt;MIN($A$10,$A$2),$A$5=""),"",INDEX(DemoHistory[],$A490,MATCH($A$5,DemoHistory[#Headers],0)))</f>
        <v/>
      </c>
      <c r="D490" s="166" t="str">
        <f>IF($A490&gt;MIN($A$10,$A$2),"",IF(AND($A$12,$A$6=1,B490&lt;$A$7,$A$7&lt;=MAX(DemoHistory[Date])),$A$8,1))</f>
        <v/>
      </c>
      <c r="E490" s="166" t="str">
        <f t="shared" si="18"/>
        <v/>
      </c>
      <c r="F490" s="166" t="str">
        <f>IF($A490&gt;MIN($A$10,$A$2),"",IF($A490&lt;50,"n.a.",IF(COUNT(INDEX(StockDaily[Adjusted close],MAX(1,$A490-50+1)):E490)=50,AVERAGE(INDEX(StockDaily[Adjusted close],MAX(1,$A490-50+1)):E490),"n.a.")))</f>
        <v/>
      </c>
      <c r="G490" s="166" t="str">
        <f>IF($A490&gt;MIN($A$10,$A$2),"",IF($A490&lt;200,"n.a.",IF(COUNT(INDEX(StockDaily[Adjusted close],MAX(1,$A490-200+1)):E490)=200,AVERAGE(INDEX(StockDaily[Adjusted close],MAX(1,$A490-200+1)):E490),"n.a.")))</f>
        <v/>
      </c>
      <c r="H490" s="136" t="str">
        <f>IF($A490&gt;MIN($A$10,$A$2),"",IF($A$5="","Choose stock",IF(NOT($A$12),"Check split rule",IF(NOT(ISNUMBER(B490)),"Invalid date",IF(OR(B490&lt;=0,B490&lt;&gt;INT(B490)),"Invalid date",IF(COUNTIFS(DemoHistory[Date],B490)&lt;&gt;1,"Duplicate date",IF(AND($A490&gt;1,B490&lt;=B489),"Dates out of order",IF(NOT(ISNUMBER(C490)),"Missing price",IF(C490&lt;=0,"Nonpositive price","OK")))))))))</f>
        <v/>
      </c>
      <c r="I490" s="136"/>
      <c r="J490" s="136"/>
      <c r="K490" s="136"/>
      <c r="L490" s="136"/>
      <c r="M490" s="136"/>
      <c r="N490" s="136" t="e">
        <f t="shared" si="19"/>
        <v>#N/A</v>
      </c>
      <c r="O490" s="136" t="e">
        <f t="shared" si="20"/>
        <v>#N/A</v>
      </c>
    </row>
    <row r="491" spans="1:15" ht="22.05" customHeight="1" x14ac:dyDescent="0.3">
      <c r="A491" s="136">
        <v>447</v>
      </c>
      <c r="B491" s="165" t="str">
        <f>IF($A491&gt;MIN($A$10,$A$2),"",INDEX(DemoHistory[Date],$A491))</f>
        <v/>
      </c>
      <c r="C491" s="166" t="str">
        <f>IF(OR($A491&gt;MIN($A$10,$A$2),$A$5=""),"",INDEX(DemoHistory[],$A491,MATCH($A$5,DemoHistory[#Headers],0)))</f>
        <v/>
      </c>
      <c r="D491" s="166" t="str">
        <f>IF($A491&gt;MIN($A$10,$A$2),"",IF(AND($A$12,$A$6=1,B491&lt;$A$7,$A$7&lt;=MAX(DemoHistory[Date])),$A$8,1))</f>
        <v/>
      </c>
      <c r="E491" s="166" t="str">
        <f t="shared" si="18"/>
        <v/>
      </c>
      <c r="F491" s="166" t="str">
        <f>IF($A491&gt;MIN($A$10,$A$2),"",IF($A491&lt;50,"n.a.",IF(COUNT(INDEX(StockDaily[Adjusted close],MAX(1,$A491-50+1)):E491)=50,AVERAGE(INDEX(StockDaily[Adjusted close],MAX(1,$A491-50+1)):E491),"n.a.")))</f>
        <v/>
      </c>
      <c r="G491" s="166" t="str">
        <f>IF($A491&gt;MIN($A$10,$A$2),"",IF($A491&lt;200,"n.a.",IF(COUNT(INDEX(StockDaily[Adjusted close],MAX(1,$A491-200+1)):E491)=200,AVERAGE(INDEX(StockDaily[Adjusted close],MAX(1,$A491-200+1)):E491),"n.a.")))</f>
        <v/>
      </c>
      <c r="H491" s="136" t="str">
        <f>IF($A491&gt;MIN($A$10,$A$2),"",IF($A$5="","Choose stock",IF(NOT($A$12),"Check split rule",IF(NOT(ISNUMBER(B491)),"Invalid date",IF(OR(B491&lt;=0,B491&lt;&gt;INT(B491)),"Invalid date",IF(COUNTIFS(DemoHistory[Date],B491)&lt;&gt;1,"Duplicate date",IF(AND($A491&gt;1,B491&lt;=B490),"Dates out of order",IF(NOT(ISNUMBER(C491)),"Missing price",IF(C491&lt;=0,"Nonpositive price","OK")))))))))</f>
        <v/>
      </c>
      <c r="I491" s="136"/>
      <c r="J491" s="136"/>
      <c r="K491" s="136"/>
      <c r="L491" s="136"/>
      <c r="M491" s="136"/>
      <c r="N491" s="136" t="e">
        <f t="shared" si="19"/>
        <v>#N/A</v>
      </c>
      <c r="O491" s="136" t="e">
        <f t="shared" si="20"/>
        <v>#N/A</v>
      </c>
    </row>
    <row r="492" spans="1:15" ht="22.05" customHeight="1" x14ac:dyDescent="0.3">
      <c r="A492" s="136">
        <v>448</v>
      </c>
      <c r="B492" s="165" t="str">
        <f>IF($A492&gt;MIN($A$10,$A$2),"",INDEX(DemoHistory[Date],$A492))</f>
        <v/>
      </c>
      <c r="C492" s="166" t="str">
        <f>IF(OR($A492&gt;MIN($A$10,$A$2),$A$5=""),"",INDEX(DemoHistory[],$A492,MATCH($A$5,DemoHistory[#Headers],0)))</f>
        <v/>
      </c>
      <c r="D492" s="166" t="str">
        <f>IF($A492&gt;MIN($A$10,$A$2),"",IF(AND($A$12,$A$6=1,B492&lt;$A$7,$A$7&lt;=MAX(DemoHistory[Date])),$A$8,1))</f>
        <v/>
      </c>
      <c r="E492" s="166" t="str">
        <f t="shared" si="18"/>
        <v/>
      </c>
      <c r="F492" s="166" t="str">
        <f>IF($A492&gt;MIN($A$10,$A$2),"",IF($A492&lt;50,"n.a.",IF(COUNT(INDEX(StockDaily[Adjusted close],MAX(1,$A492-50+1)):E492)=50,AVERAGE(INDEX(StockDaily[Adjusted close],MAX(1,$A492-50+1)):E492),"n.a.")))</f>
        <v/>
      </c>
      <c r="G492" s="166" t="str">
        <f>IF($A492&gt;MIN($A$10,$A$2),"",IF($A492&lt;200,"n.a.",IF(COUNT(INDEX(StockDaily[Adjusted close],MAX(1,$A492-200+1)):E492)=200,AVERAGE(INDEX(StockDaily[Adjusted close],MAX(1,$A492-200+1)):E492),"n.a.")))</f>
        <v/>
      </c>
      <c r="H492" s="136" t="str">
        <f>IF($A492&gt;MIN($A$10,$A$2),"",IF($A$5="","Choose stock",IF(NOT($A$12),"Check split rule",IF(NOT(ISNUMBER(B492)),"Invalid date",IF(OR(B492&lt;=0,B492&lt;&gt;INT(B492)),"Invalid date",IF(COUNTIFS(DemoHistory[Date],B492)&lt;&gt;1,"Duplicate date",IF(AND($A492&gt;1,B492&lt;=B491),"Dates out of order",IF(NOT(ISNUMBER(C492)),"Missing price",IF(C492&lt;=0,"Nonpositive price","OK")))))))))</f>
        <v/>
      </c>
      <c r="I492" s="136"/>
      <c r="J492" s="136"/>
      <c r="K492" s="136"/>
      <c r="L492" s="136"/>
      <c r="M492" s="136"/>
      <c r="N492" s="136" t="e">
        <f t="shared" si="19"/>
        <v>#N/A</v>
      </c>
      <c r="O492" s="136" t="e">
        <f t="shared" si="20"/>
        <v>#N/A</v>
      </c>
    </row>
    <row r="493" spans="1:15" ht="22.05" customHeight="1" x14ac:dyDescent="0.3">
      <c r="A493" s="136">
        <v>449</v>
      </c>
      <c r="B493" s="165" t="str">
        <f>IF($A493&gt;MIN($A$10,$A$2),"",INDEX(DemoHistory[Date],$A493))</f>
        <v/>
      </c>
      <c r="C493" s="166" t="str">
        <f>IF(OR($A493&gt;MIN($A$10,$A$2),$A$5=""),"",INDEX(DemoHistory[],$A493,MATCH($A$5,DemoHistory[#Headers],0)))</f>
        <v/>
      </c>
      <c r="D493" s="166" t="str">
        <f>IF($A493&gt;MIN($A$10,$A$2),"",IF(AND($A$12,$A$6=1,B493&lt;$A$7,$A$7&lt;=MAX(DemoHistory[Date])),$A$8,1))</f>
        <v/>
      </c>
      <c r="E493" s="166" t="str">
        <f t="shared" ref="E493:E556" si="21">IF($A493&gt;MIN($A$10,$A$2),"",IF(H493="OK",C493/D493,"n.a."))</f>
        <v/>
      </c>
      <c r="F493" s="166" t="str">
        <f>IF($A493&gt;MIN($A$10,$A$2),"",IF($A493&lt;50,"n.a.",IF(COUNT(INDEX(StockDaily[Adjusted close],MAX(1,$A493-50+1)):E493)=50,AVERAGE(INDEX(StockDaily[Adjusted close],MAX(1,$A493-50+1)):E493),"n.a.")))</f>
        <v/>
      </c>
      <c r="G493" s="166" t="str">
        <f>IF($A493&gt;MIN($A$10,$A$2),"",IF($A493&lt;200,"n.a.",IF(COUNT(INDEX(StockDaily[Adjusted close],MAX(1,$A493-200+1)):E493)=200,AVERAGE(INDEX(StockDaily[Adjusted close],MAX(1,$A493-200+1)):E493),"n.a.")))</f>
        <v/>
      </c>
      <c r="H493" s="136" t="str">
        <f>IF($A493&gt;MIN($A$10,$A$2),"",IF($A$5="","Choose stock",IF(NOT($A$12),"Check split rule",IF(NOT(ISNUMBER(B493)),"Invalid date",IF(OR(B493&lt;=0,B493&lt;&gt;INT(B493)),"Invalid date",IF(COUNTIFS(DemoHistory[Date],B493)&lt;&gt;1,"Duplicate date",IF(AND($A493&gt;1,B493&lt;=B492),"Dates out of order",IF(NOT(ISNUMBER(C493)),"Missing price",IF(C493&lt;=0,"Nonpositive price","OK")))))))))</f>
        <v/>
      </c>
      <c r="I493" s="136"/>
      <c r="J493" s="136"/>
      <c r="K493" s="136"/>
      <c r="L493" s="136"/>
      <c r="M493" s="136"/>
      <c r="N493" s="136" t="e">
        <f t="shared" ref="N493:N556" si="22">IF(AND($A$13="Ready",ISNUMBER(E493)),E493,NA())</f>
        <v>#N/A</v>
      </c>
      <c r="O493" s="136" t="e">
        <f t="shared" ref="O493:O556" si="23">IF(AND($A$13="Ready",ISNUMBER(F493)),F493,NA())</f>
        <v>#N/A</v>
      </c>
    </row>
    <row r="494" spans="1:15" ht="22.05" customHeight="1" x14ac:dyDescent="0.3">
      <c r="A494" s="136">
        <v>450</v>
      </c>
      <c r="B494" s="165" t="str">
        <f>IF($A494&gt;MIN($A$10,$A$2),"",INDEX(DemoHistory[Date],$A494))</f>
        <v/>
      </c>
      <c r="C494" s="166" t="str">
        <f>IF(OR($A494&gt;MIN($A$10,$A$2),$A$5=""),"",INDEX(DemoHistory[],$A494,MATCH($A$5,DemoHistory[#Headers],0)))</f>
        <v/>
      </c>
      <c r="D494" s="166" t="str">
        <f>IF($A494&gt;MIN($A$10,$A$2),"",IF(AND($A$12,$A$6=1,B494&lt;$A$7,$A$7&lt;=MAX(DemoHistory[Date])),$A$8,1))</f>
        <v/>
      </c>
      <c r="E494" s="166" t="str">
        <f t="shared" si="21"/>
        <v/>
      </c>
      <c r="F494" s="166" t="str">
        <f>IF($A494&gt;MIN($A$10,$A$2),"",IF($A494&lt;50,"n.a.",IF(COUNT(INDEX(StockDaily[Adjusted close],MAX(1,$A494-50+1)):E494)=50,AVERAGE(INDEX(StockDaily[Adjusted close],MAX(1,$A494-50+1)):E494),"n.a.")))</f>
        <v/>
      </c>
      <c r="G494" s="166" t="str">
        <f>IF($A494&gt;MIN($A$10,$A$2),"",IF($A494&lt;200,"n.a.",IF(COUNT(INDEX(StockDaily[Adjusted close],MAX(1,$A494-200+1)):E494)=200,AVERAGE(INDEX(StockDaily[Adjusted close],MAX(1,$A494-200+1)):E494),"n.a.")))</f>
        <v/>
      </c>
      <c r="H494" s="136" t="str">
        <f>IF($A494&gt;MIN($A$10,$A$2),"",IF($A$5="","Choose stock",IF(NOT($A$12),"Check split rule",IF(NOT(ISNUMBER(B494)),"Invalid date",IF(OR(B494&lt;=0,B494&lt;&gt;INT(B494)),"Invalid date",IF(COUNTIFS(DemoHistory[Date],B494)&lt;&gt;1,"Duplicate date",IF(AND($A494&gt;1,B494&lt;=B493),"Dates out of order",IF(NOT(ISNUMBER(C494)),"Missing price",IF(C494&lt;=0,"Nonpositive price","OK")))))))))</f>
        <v/>
      </c>
      <c r="I494" s="136"/>
      <c r="J494" s="136"/>
      <c r="K494" s="136"/>
      <c r="L494" s="136"/>
      <c r="M494" s="136"/>
      <c r="N494" s="136" t="e">
        <f t="shared" si="22"/>
        <v>#N/A</v>
      </c>
      <c r="O494" s="136" t="e">
        <f t="shared" si="23"/>
        <v>#N/A</v>
      </c>
    </row>
    <row r="495" spans="1:15" ht="22.05" customHeight="1" x14ac:dyDescent="0.3">
      <c r="A495" s="136">
        <v>451</v>
      </c>
      <c r="B495" s="165" t="str">
        <f>IF($A495&gt;MIN($A$10,$A$2),"",INDEX(DemoHistory[Date],$A495))</f>
        <v/>
      </c>
      <c r="C495" s="166" t="str">
        <f>IF(OR($A495&gt;MIN($A$10,$A$2),$A$5=""),"",INDEX(DemoHistory[],$A495,MATCH($A$5,DemoHistory[#Headers],0)))</f>
        <v/>
      </c>
      <c r="D495" s="166" t="str">
        <f>IF($A495&gt;MIN($A$10,$A$2),"",IF(AND($A$12,$A$6=1,B495&lt;$A$7,$A$7&lt;=MAX(DemoHistory[Date])),$A$8,1))</f>
        <v/>
      </c>
      <c r="E495" s="166" t="str">
        <f t="shared" si="21"/>
        <v/>
      </c>
      <c r="F495" s="166" t="str">
        <f>IF($A495&gt;MIN($A$10,$A$2),"",IF($A495&lt;50,"n.a.",IF(COUNT(INDEX(StockDaily[Adjusted close],MAX(1,$A495-50+1)):E495)=50,AVERAGE(INDEX(StockDaily[Adjusted close],MAX(1,$A495-50+1)):E495),"n.a.")))</f>
        <v/>
      </c>
      <c r="G495" s="166" t="str">
        <f>IF($A495&gt;MIN($A$10,$A$2),"",IF($A495&lt;200,"n.a.",IF(COUNT(INDEX(StockDaily[Adjusted close],MAX(1,$A495-200+1)):E495)=200,AVERAGE(INDEX(StockDaily[Adjusted close],MAX(1,$A495-200+1)):E495),"n.a.")))</f>
        <v/>
      </c>
      <c r="H495" s="136" t="str">
        <f>IF($A495&gt;MIN($A$10,$A$2),"",IF($A$5="","Choose stock",IF(NOT($A$12),"Check split rule",IF(NOT(ISNUMBER(B495)),"Invalid date",IF(OR(B495&lt;=0,B495&lt;&gt;INT(B495)),"Invalid date",IF(COUNTIFS(DemoHistory[Date],B495)&lt;&gt;1,"Duplicate date",IF(AND($A495&gt;1,B495&lt;=B494),"Dates out of order",IF(NOT(ISNUMBER(C495)),"Missing price",IF(C495&lt;=0,"Nonpositive price","OK")))))))))</f>
        <v/>
      </c>
      <c r="I495" s="136"/>
      <c r="J495" s="136"/>
      <c r="K495" s="136"/>
      <c r="L495" s="136"/>
      <c r="M495" s="136"/>
      <c r="N495" s="136" t="e">
        <f t="shared" si="22"/>
        <v>#N/A</v>
      </c>
      <c r="O495" s="136" t="e">
        <f t="shared" si="23"/>
        <v>#N/A</v>
      </c>
    </row>
    <row r="496" spans="1:15" ht="22.05" customHeight="1" x14ac:dyDescent="0.3">
      <c r="A496" s="136">
        <v>452</v>
      </c>
      <c r="B496" s="165" t="str">
        <f>IF($A496&gt;MIN($A$10,$A$2),"",INDEX(DemoHistory[Date],$A496))</f>
        <v/>
      </c>
      <c r="C496" s="166" t="str">
        <f>IF(OR($A496&gt;MIN($A$10,$A$2),$A$5=""),"",INDEX(DemoHistory[],$A496,MATCH($A$5,DemoHistory[#Headers],0)))</f>
        <v/>
      </c>
      <c r="D496" s="166" t="str">
        <f>IF($A496&gt;MIN($A$10,$A$2),"",IF(AND($A$12,$A$6=1,B496&lt;$A$7,$A$7&lt;=MAX(DemoHistory[Date])),$A$8,1))</f>
        <v/>
      </c>
      <c r="E496" s="166" t="str">
        <f t="shared" si="21"/>
        <v/>
      </c>
      <c r="F496" s="166" t="str">
        <f>IF($A496&gt;MIN($A$10,$A$2),"",IF($A496&lt;50,"n.a.",IF(COUNT(INDEX(StockDaily[Adjusted close],MAX(1,$A496-50+1)):E496)=50,AVERAGE(INDEX(StockDaily[Adjusted close],MAX(1,$A496-50+1)):E496),"n.a.")))</f>
        <v/>
      </c>
      <c r="G496" s="166" t="str">
        <f>IF($A496&gt;MIN($A$10,$A$2),"",IF($A496&lt;200,"n.a.",IF(COUNT(INDEX(StockDaily[Adjusted close],MAX(1,$A496-200+1)):E496)=200,AVERAGE(INDEX(StockDaily[Adjusted close],MAX(1,$A496-200+1)):E496),"n.a.")))</f>
        <v/>
      </c>
      <c r="H496" s="136" t="str">
        <f>IF($A496&gt;MIN($A$10,$A$2),"",IF($A$5="","Choose stock",IF(NOT($A$12),"Check split rule",IF(NOT(ISNUMBER(B496)),"Invalid date",IF(OR(B496&lt;=0,B496&lt;&gt;INT(B496)),"Invalid date",IF(COUNTIFS(DemoHistory[Date],B496)&lt;&gt;1,"Duplicate date",IF(AND($A496&gt;1,B496&lt;=B495),"Dates out of order",IF(NOT(ISNUMBER(C496)),"Missing price",IF(C496&lt;=0,"Nonpositive price","OK")))))))))</f>
        <v/>
      </c>
      <c r="I496" s="136"/>
      <c r="J496" s="136"/>
      <c r="K496" s="136"/>
      <c r="L496" s="136"/>
      <c r="M496" s="136"/>
      <c r="N496" s="136" t="e">
        <f t="shared" si="22"/>
        <v>#N/A</v>
      </c>
      <c r="O496" s="136" t="e">
        <f t="shared" si="23"/>
        <v>#N/A</v>
      </c>
    </row>
    <row r="497" spans="1:15" ht="22.05" customHeight="1" x14ac:dyDescent="0.3">
      <c r="A497" s="136">
        <v>453</v>
      </c>
      <c r="B497" s="165" t="str">
        <f>IF($A497&gt;MIN($A$10,$A$2),"",INDEX(DemoHistory[Date],$A497))</f>
        <v/>
      </c>
      <c r="C497" s="166" t="str">
        <f>IF(OR($A497&gt;MIN($A$10,$A$2),$A$5=""),"",INDEX(DemoHistory[],$A497,MATCH($A$5,DemoHistory[#Headers],0)))</f>
        <v/>
      </c>
      <c r="D497" s="166" t="str">
        <f>IF($A497&gt;MIN($A$10,$A$2),"",IF(AND($A$12,$A$6=1,B497&lt;$A$7,$A$7&lt;=MAX(DemoHistory[Date])),$A$8,1))</f>
        <v/>
      </c>
      <c r="E497" s="166" t="str">
        <f t="shared" si="21"/>
        <v/>
      </c>
      <c r="F497" s="166" t="str">
        <f>IF($A497&gt;MIN($A$10,$A$2),"",IF($A497&lt;50,"n.a.",IF(COUNT(INDEX(StockDaily[Adjusted close],MAX(1,$A497-50+1)):E497)=50,AVERAGE(INDEX(StockDaily[Adjusted close],MAX(1,$A497-50+1)):E497),"n.a.")))</f>
        <v/>
      </c>
      <c r="G497" s="166" t="str">
        <f>IF($A497&gt;MIN($A$10,$A$2),"",IF($A497&lt;200,"n.a.",IF(COUNT(INDEX(StockDaily[Adjusted close],MAX(1,$A497-200+1)):E497)=200,AVERAGE(INDEX(StockDaily[Adjusted close],MAX(1,$A497-200+1)):E497),"n.a.")))</f>
        <v/>
      </c>
      <c r="H497" s="136" t="str">
        <f>IF($A497&gt;MIN($A$10,$A$2),"",IF($A$5="","Choose stock",IF(NOT($A$12),"Check split rule",IF(NOT(ISNUMBER(B497)),"Invalid date",IF(OR(B497&lt;=0,B497&lt;&gt;INT(B497)),"Invalid date",IF(COUNTIFS(DemoHistory[Date],B497)&lt;&gt;1,"Duplicate date",IF(AND($A497&gt;1,B497&lt;=B496),"Dates out of order",IF(NOT(ISNUMBER(C497)),"Missing price",IF(C497&lt;=0,"Nonpositive price","OK")))))))))</f>
        <v/>
      </c>
      <c r="I497" s="136"/>
      <c r="J497" s="136"/>
      <c r="K497" s="136"/>
      <c r="L497" s="136"/>
      <c r="M497" s="136"/>
      <c r="N497" s="136" t="e">
        <f t="shared" si="22"/>
        <v>#N/A</v>
      </c>
      <c r="O497" s="136" t="e">
        <f t="shared" si="23"/>
        <v>#N/A</v>
      </c>
    </row>
    <row r="498" spans="1:15" ht="22.05" customHeight="1" x14ac:dyDescent="0.3">
      <c r="A498" s="136">
        <v>454</v>
      </c>
      <c r="B498" s="165" t="str">
        <f>IF($A498&gt;MIN($A$10,$A$2),"",INDEX(DemoHistory[Date],$A498))</f>
        <v/>
      </c>
      <c r="C498" s="166" t="str">
        <f>IF(OR($A498&gt;MIN($A$10,$A$2),$A$5=""),"",INDEX(DemoHistory[],$A498,MATCH($A$5,DemoHistory[#Headers],0)))</f>
        <v/>
      </c>
      <c r="D498" s="166" t="str">
        <f>IF($A498&gt;MIN($A$10,$A$2),"",IF(AND($A$12,$A$6=1,B498&lt;$A$7,$A$7&lt;=MAX(DemoHistory[Date])),$A$8,1))</f>
        <v/>
      </c>
      <c r="E498" s="166" t="str">
        <f t="shared" si="21"/>
        <v/>
      </c>
      <c r="F498" s="166" t="str">
        <f>IF($A498&gt;MIN($A$10,$A$2),"",IF($A498&lt;50,"n.a.",IF(COUNT(INDEX(StockDaily[Adjusted close],MAX(1,$A498-50+1)):E498)=50,AVERAGE(INDEX(StockDaily[Adjusted close],MAX(1,$A498-50+1)):E498),"n.a.")))</f>
        <v/>
      </c>
      <c r="G498" s="166" t="str">
        <f>IF($A498&gt;MIN($A$10,$A$2),"",IF($A498&lt;200,"n.a.",IF(COUNT(INDEX(StockDaily[Adjusted close],MAX(1,$A498-200+1)):E498)=200,AVERAGE(INDEX(StockDaily[Adjusted close],MAX(1,$A498-200+1)):E498),"n.a.")))</f>
        <v/>
      </c>
      <c r="H498" s="136" t="str">
        <f>IF($A498&gt;MIN($A$10,$A$2),"",IF($A$5="","Choose stock",IF(NOT($A$12),"Check split rule",IF(NOT(ISNUMBER(B498)),"Invalid date",IF(OR(B498&lt;=0,B498&lt;&gt;INT(B498)),"Invalid date",IF(COUNTIFS(DemoHistory[Date],B498)&lt;&gt;1,"Duplicate date",IF(AND($A498&gt;1,B498&lt;=B497),"Dates out of order",IF(NOT(ISNUMBER(C498)),"Missing price",IF(C498&lt;=0,"Nonpositive price","OK")))))))))</f>
        <v/>
      </c>
      <c r="I498" s="136"/>
      <c r="J498" s="136"/>
      <c r="K498" s="136"/>
      <c r="L498" s="136"/>
      <c r="M498" s="136"/>
      <c r="N498" s="136" t="e">
        <f t="shared" si="22"/>
        <v>#N/A</v>
      </c>
      <c r="O498" s="136" t="e">
        <f t="shared" si="23"/>
        <v>#N/A</v>
      </c>
    </row>
    <row r="499" spans="1:15" ht="22.05" customHeight="1" x14ac:dyDescent="0.3">
      <c r="A499" s="136">
        <v>455</v>
      </c>
      <c r="B499" s="165" t="str">
        <f>IF($A499&gt;MIN($A$10,$A$2),"",INDEX(DemoHistory[Date],$A499))</f>
        <v/>
      </c>
      <c r="C499" s="166" t="str">
        <f>IF(OR($A499&gt;MIN($A$10,$A$2),$A$5=""),"",INDEX(DemoHistory[],$A499,MATCH($A$5,DemoHistory[#Headers],0)))</f>
        <v/>
      </c>
      <c r="D499" s="166" t="str">
        <f>IF($A499&gt;MIN($A$10,$A$2),"",IF(AND($A$12,$A$6=1,B499&lt;$A$7,$A$7&lt;=MAX(DemoHistory[Date])),$A$8,1))</f>
        <v/>
      </c>
      <c r="E499" s="166" t="str">
        <f t="shared" si="21"/>
        <v/>
      </c>
      <c r="F499" s="166" t="str">
        <f>IF($A499&gt;MIN($A$10,$A$2),"",IF($A499&lt;50,"n.a.",IF(COUNT(INDEX(StockDaily[Adjusted close],MAX(1,$A499-50+1)):E499)=50,AVERAGE(INDEX(StockDaily[Adjusted close],MAX(1,$A499-50+1)):E499),"n.a.")))</f>
        <v/>
      </c>
      <c r="G499" s="166" t="str">
        <f>IF($A499&gt;MIN($A$10,$A$2),"",IF($A499&lt;200,"n.a.",IF(COUNT(INDEX(StockDaily[Adjusted close],MAX(1,$A499-200+1)):E499)=200,AVERAGE(INDEX(StockDaily[Adjusted close],MAX(1,$A499-200+1)):E499),"n.a.")))</f>
        <v/>
      </c>
      <c r="H499" s="136" t="str">
        <f>IF($A499&gt;MIN($A$10,$A$2),"",IF($A$5="","Choose stock",IF(NOT($A$12),"Check split rule",IF(NOT(ISNUMBER(B499)),"Invalid date",IF(OR(B499&lt;=0,B499&lt;&gt;INT(B499)),"Invalid date",IF(COUNTIFS(DemoHistory[Date],B499)&lt;&gt;1,"Duplicate date",IF(AND($A499&gt;1,B499&lt;=B498),"Dates out of order",IF(NOT(ISNUMBER(C499)),"Missing price",IF(C499&lt;=0,"Nonpositive price","OK")))))))))</f>
        <v/>
      </c>
      <c r="I499" s="136"/>
      <c r="J499" s="136"/>
      <c r="K499" s="136"/>
      <c r="L499" s="136"/>
      <c r="M499" s="136"/>
      <c r="N499" s="136" t="e">
        <f t="shared" si="22"/>
        <v>#N/A</v>
      </c>
      <c r="O499" s="136" t="e">
        <f t="shared" si="23"/>
        <v>#N/A</v>
      </c>
    </row>
    <row r="500" spans="1:15" ht="22.05" customHeight="1" x14ac:dyDescent="0.3">
      <c r="A500" s="136">
        <v>456</v>
      </c>
      <c r="B500" s="165" t="str">
        <f>IF($A500&gt;MIN($A$10,$A$2),"",INDEX(DemoHistory[Date],$A500))</f>
        <v/>
      </c>
      <c r="C500" s="166" t="str">
        <f>IF(OR($A500&gt;MIN($A$10,$A$2),$A$5=""),"",INDEX(DemoHistory[],$A500,MATCH($A$5,DemoHistory[#Headers],0)))</f>
        <v/>
      </c>
      <c r="D500" s="166" t="str">
        <f>IF($A500&gt;MIN($A$10,$A$2),"",IF(AND($A$12,$A$6=1,B500&lt;$A$7,$A$7&lt;=MAX(DemoHistory[Date])),$A$8,1))</f>
        <v/>
      </c>
      <c r="E500" s="166" t="str">
        <f t="shared" si="21"/>
        <v/>
      </c>
      <c r="F500" s="166" t="str">
        <f>IF($A500&gt;MIN($A$10,$A$2),"",IF($A500&lt;50,"n.a.",IF(COUNT(INDEX(StockDaily[Adjusted close],MAX(1,$A500-50+1)):E500)=50,AVERAGE(INDEX(StockDaily[Adjusted close],MAX(1,$A500-50+1)):E500),"n.a.")))</f>
        <v/>
      </c>
      <c r="G500" s="166" t="str">
        <f>IF($A500&gt;MIN($A$10,$A$2),"",IF($A500&lt;200,"n.a.",IF(COUNT(INDEX(StockDaily[Adjusted close],MAX(1,$A500-200+1)):E500)=200,AVERAGE(INDEX(StockDaily[Adjusted close],MAX(1,$A500-200+1)):E500),"n.a.")))</f>
        <v/>
      </c>
      <c r="H500" s="136" t="str">
        <f>IF($A500&gt;MIN($A$10,$A$2),"",IF($A$5="","Choose stock",IF(NOT($A$12),"Check split rule",IF(NOT(ISNUMBER(B500)),"Invalid date",IF(OR(B500&lt;=0,B500&lt;&gt;INT(B500)),"Invalid date",IF(COUNTIFS(DemoHistory[Date],B500)&lt;&gt;1,"Duplicate date",IF(AND($A500&gt;1,B500&lt;=B499),"Dates out of order",IF(NOT(ISNUMBER(C500)),"Missing price",IF(C500&lt;=0,"Nonpositive price","OK")))))))))</f>
        <v/>
      </c>
      <c r="I500" s="136"/>
      <c r="J500" s="136"/>
      <c r="K500" s="136"/>
      <c r="L500" s="136"/>
      <c r="M500" s="136"/>
      <c r="N500" s="136" t="e">
        <f t="shared" si="22"/>
        <v>#N/A</v>
      </c>
      <c r="O500" s="136" t="e">
        <f t="shared" si="23"/>
        <v>#N/A</v>
      </c>
    </row>
    <row r="501" spans="1:15" ht="22.05" customHeight="1" x14ac:dyDescent="0.3">
      <c r="A501" s="136">
        <v>457</v>
      </c>
      <c r="B501" s="165" t="str">
        <f>IF($A501&gt;MIN($A$10,$A$2),"",INDEX(DemoHistory[Date],$A501))</f>
        <v/>
      </c>
      <c r="C501" s="166" t="str">
        <f>IF(OR($A501&gt;MIN($A$10,$A$2),$A$5=""),"",INDEX(DemoHistory[],$A501,MATCH($A$5,DemoHistory[#Headers],0)))</f>
        <v/>
      </c>
      <c r="D501" s="166" t="str">
        <f>IF($A501&gt;MIN($A$10,$A$2),"",IF(AND($A$12,$A$6=1,B501&lt;$A$7,$A$7&lt;=MAX(DemoHistory[Date])),$A$8,1))</f>
        <v/>
      </c>
      <c r="E501" s="166" t="str">
        <f t="shared" si="21"/>
        <v/>
      </c>
      <c r="F501" s="166" t="str">
        <f>IF($A501&gt;MIN($A$10,$A$2),"",IF($A501&lt;50,"n.a.",IF(COUNT(INDEX(StockDaily[Adjusted close],MAX(1,$A501-50+1)):E501)=50,AVERAGE(INDEX(StockDaily[Adjusted close],MAX(1,$A501-50+1)):E501),"n.a.")))</f>
        <v/>
      </c>
      <c r="G501" s="166" t="str">
        <f>IF($A501&gt;MIN($A$10,$A$2),"",IF($A501&lt;200,"n.a.",IF(COUNT(INDEX(StockDaily[Adjusted close],MAX(1,$A501-200+1)):E501)=200,AVERAGE(INDEX(StockDaily[Adjusted close],MAX(1,$A501-200+1)):E501),"n.a.")))</f>
        <v/>
      </c>
      <c r="H501" s="136" t="str">
        <f>IF($A501&gt;MIN($A$10,$A$2),"",IF($A$5="","Choose stock",IF(NOT($A$12),"Check split rule",IF(NOT(ISNUMBER(B501)),"Invalid date",IF(OR(B501&lt;=0,B501&lt;&gt;INT(B501)),"Invalid date",IF(COUNTIFS(DemoHistory[Date],B501)&lt;&gt;1,"Duplicate date",IF(AND($A501&gt;1,B501&lt;=B500),"Dates out of order",IF(NOT(ISNUMBER(C501)),"Missing price",IF(C501&lt;=0,"Nonpositive price","OK")))))))))</f>
        <v/>
      </c>
      <c r="I501" s="136"/>
      <c r="J501" s="136"/>
      <c r="K501" s="136"/>
      <c r="L501" s="136"/>
      <c r="M501" s="136"/>
      <c r="N501" s="136" t="e">
        <f t="shared" si="22"/>
        <v>#N/A</v>
      </c>
      <c r="O501" s="136" t="e">
        <f t="shared" si="23"/>
        <v>#N/A</v>
      </c>
    </row>
    <row r="502" spans="1:15" ht="22.05" customHeight="1" x14ac:dyDescent="0.3">
      <c r="A502" s="136">
        <v>458</v>
      </c>
      <c r="B502" s="165" t="str">
        <f>IF($A502&gt;MIN($A$10,$A$2),"",INDEX(DemoHistory[Date],$A502))</f>
        <v/>
      </c>
      <c r="C502" s="166" t="str">
        <f>IF(OR($A502&gt;MIN($A$10,$A$2),$A$5=""),"",INDEX(DemoHistory[],$A502,MATCH($A$5,DemoHistory[#Headers],0)))</f>
        <v/>
      </c>
      <c r="D502" s="166" t="str">
        <f>IF($A502&gt;MIN($A$10,$A$2),"",IF(AND($A$12,$A$6=1,B502&lt;$A$7,$A$7&lt;=MAX(DemoHistory[Date])),$A$8,1))</f>
        <v/>
      </c>
      <c r="E502" s="166" t="str">
        <f t="shared" si="21"/>
        <v/>
      </c>
      <c r="F502" s="166" t="str">
        <f>IF($A502&gt;MIN($A$10,$A$2),"",IF($A502&lt;50,"n.a.",IF(COUNT(INDEX(StockDaily[Adjusted close],MAX(1,$A502-50+1)):E502)=50,AVERAGE(INDEX(StockDaily[Adjusted close],MAX(1,$A502-50+1)):E502),"n.a.")))</f>
        <v/>
      </c>
      <c r="G502" s="166" t="str">
        <f>IF($A502&gt;MIN($A$10,$A$2),"",IF($A502&lt;200,"n.a.",IF(COUNT(INDEX(StockDaily[Adjusted close],MAX(1,$A502-200+1)):E502)=200,AVERAGE(INDEX(StockDaily[Adjusted close],MAX(1,$A502-200+1)):E502),"n.a.")))</f>
        <v/>
      </c>
      <c r="H502" s="136" t="str">
        <f>IF($A502&gt;MIN($A$10,$A$2),"",IF($A$5="","Choose stock",IF(NOT($A$12),"Check split rule",IF(NOT(ISNUMBER(B502)),"Invalid date",IF(OR(B502&lt;=0,B502&lt;&gt;INT(B502)),"Invalid date",IF(COUNTIFS(DemoHistory[Date],B502)&lt;&gt;1,"Duplicate date",IF(AND($A502&gt;1,B502&lt;=B501),"Dates out of order",IF(NOT(ISNUMBER(C502)),"Missing price",IF(C502&lt;=0,"Nonpositive price","OK")))))))))</f>
        <v/>
      </c>
      <c r="I502" s="136"/>
      <c r="J502" s="136"/>
      <c r="K502" s="136"/>
      <c r="L502" s="136"/>
      <c r="M502" s="136"/>
      <c r="N502" s="136" t="e">
        <f t="shared" si="22"/>
        <v>#N/A</v>
      </c>
      <c r="O502" s="136" t="e">
        <f t="shared" si="23"/>
        <v>#N/A</v>
      </c>
    </row>
    <row r="503" spans="1:15" ht="22.05" customHeight="1" x14ac:dyDescent="0.3">
      <c r="A503" s="136">
        <v>459</v>
      </c>
      <c r="B503" s="165" t="str">
        <f>IF($A503&gt;MIN($A$10,$A$2),"",INDEX(DemoHistory[Date],$A503))</f>
        <v/>
      </c>
      <c r="C503" s="166" t="str">
        <f>IF(OR($A503&gt;MIN($A$10,$A$2),$A$5=""),"",INDEX(DemoHistory[],$A503,MATCH($A$5,DemoHistory[#Headers],0)))</f>
        <v/>
      </c>
      <c r="D503" s="166" t="str">
        <f>IF($A503&gt;MIN($A$10,$A$2),"",IF(AND($A$12,$A$6=1,B503&lt;$A$7,$A$7&lt;=MAX(DemoHistory[Date])),$A$8,1))</f>
        <v/>
      </c>
      <c r="E503" s="166" t="str">
        <f t="shared" si="21"/>
        <v/>
      </c>
      <c r="F503" s="166" t="str">
        <f>IF($A503&gt;MIN($A$10,$A$2),"",IF($A503&lt;50,"n.a.",IF(COUNT(INDEX(StockDaily[Adjusted close],MAX(1,$A503-50+1)):E503)=50,AVERAGE(INDEX(StockDaily[Adjusted close],MAX(1,$A503-50+1)):E503),"n.a.")))</f>
        <v/>
      </c>
      <c r="G503" s="166" t="str">
        <f>IF($A503&gt;MIN($A$10,$A$2),"",IF($A503&lt;200,"n.a.",IF(COUNT(INDEX(StockDaily[Adjusted close],MAX(1,$A503-200+1)):E503)=200,AVERAGE(INDEX(StockDaily[Adjusted close],MAX(1,$A503-200+1)):E503),"n.a.")))</f>
        <v/>
      </c>
      <c r="H503" s="136" t="str">
        <f>IF($A503&gt;MIN($A$10,$A$2),"",IF($A$5="","Choose stock",IF(NOT($A$12),"Check split rule",IF(NOT(ISNUMBER(B503)),"Invalid date",IF(OR(B503&lt;=0,B503&lt;&gt;INT(B503)),"Invalid date",IF(COUNTIFS(DemoHistory[Date],B503)&lt;&gt;1,"Duplicate date",IF(AND($A503&gt;1,B503&lt;=B502),"Dates out of order",IF(NOT(ISNUMBER(C503)),"Missing price",IF(C503&lt;=0,"Nonpositive price","OK")))))))))</f>
        <v/>
      </c>
      <c r="I503" s="136"/>
      <c r="J503" s="136"/>
      <c r="K503" s="136"/>
      <c r="L503" s="136"/>
      <c r="M503" s="136"/>
      <c r="N503" s="136" t="e">
        <f t="shared" si="22"/>
        <v>#N/A</v>
      </c>
      <c r="O503" s="136" t="e">
        <f t="shared" si="23"/>
        <v>#N/A</v>
      </c>
    </row>
    <row r="504" spans="1:15" ht="22.05" customHeight="1" x14ac:dyDescent="0.3">
      <c r="A504" s="136">
        <v>460</v>
      </c>
      <c r="B504" s="165" t="str">
        <f>IF($A504&gt;MIN($A$10,$A$2),"",INDEX(DemoHistory[Date],$A504))</f>
        <v/>
      </c>
      <c r="C504" s="166" t="str">
        <f>IF(OR($A504&gt;MIN($A$10,$A$2),$A$5=""),"",INDEX(DemoHistory[],$A504,MATCH($A$5,DemoHistory[#Headers],0)))</f>
        <v/>
      </c>
      <c r="D504" s="166" t="str">
        <f>IF($A504&gt;MIN($A$10,$A$2),"",IF(AND($A$12,$A$6=1,B504&lt;$A$7,$A$7&lt;=MAX(DemoHistory[Date])),$A$8,1))</f>
        <v/>
      </c>
      <c r="E504" s="166" t="str">
        <f t="shared" si="21"/>
        <v/>
      </c>
      <c r="F504" s="166" t="str">
        <f>IF($A504&gt;MIN($A$10,$A$2),"",IF($A504&lt;50,"n.a.",IF(COUNT(INDEX(StockDaily[Adjusted close],MAX(1,$A504-50+1)):E504)=50,AVERAGE(INDEX(StockDaily[Adjusted close],MAX(1,$A504-50+1)):E504),"n.a.")))</f>
        <v/>
      </c>
      <c r="G504" s="166" t="str">
        <f>IF($A504&gt;MIN($A$10,$A$2),"",IF($A504&lt;200,"n.a.",IF(COUNT(INDEX(StockDaily[Adjusted close],MAX(1,$A504-200+1)):E504)=200,AVERAGE(INDEX(StockDaily[Adjusted close],MAX(1,$A504-200+1)):E504),"n.a.")))</f>
        <v/>
      </c>
      <c r="H504" s="136" t="str">
        <f>IF($A504&gt;MIN($A$10,$A$2),"",IF($A$5="","Choose stock",IF(NOT($A$12),"Check split rule",IF(NOT(ISNUMBER(B504)),"Invalid date",IF(OR(B504&lt;=0,B504&lt;&gt;INT(B504)),"Invalid date",IF(COUNTIFS(DemoHistory[Date],B504)&lt;&gt;1,"Duplicate date",IF(AND($A504&gt;1,B504&lt;=B503),"Dates out of order",IF(NOT(ISNUMBER(C504)),"Missing price",IF(C504&lt;=0,"Nonpositive price","OK")))))))))</f>
        <v/>
      </c>
      <c r="I504" s="136"/>
      <c r="J504" s="136"/>
      <c r="K504" s="136"/>
      <c r="L504" s="136"/>
      <c r="M504" s="136"/>
      <c r="N504" s="136" t="e">
        <f t="shared" si="22"/>
        <v>#N/A</v>
      </c>
      <c r="O504" s="136" t="e">
        <f t="shared" si="23"/>
        <v>#N/A</v>
      </c>
    </row>
    <row r="505" spans="1:15" ht="22.05" customHeight="1" x14ac:dyDescent="0.3">
      <c r="A505" s="136">
        <v>461</v>
      </c>
      <c r="B505" s="165" t="str">
        <f>IF($A505&gt;MIN($A$10,$A$2),"",INDEX(DemoHistory[Date],$A505))</f>
        <v/>
      </c>
      <c r="C505" s="166" t="str">
        <f>IF(OR($A505&gt;MIN($A$10,$A$2),$A$5=""),"",INDEX(DemoHistory[],$A505,MATCH($A$5,DemoHistory[#Headers],0)))</f>
        <v/>
      </c>
      <c r="D505" s="166" t="str">
        <f>IF($A505&gt;MIN($A$10,$A$2),"",IF(AND($A$12,$A$6=1,B505&lt;$A$7,$A$7&lt;=MAX(DemoHistory[Date])),$A$8,1))</f>
        <v/>
      </c>
      <c r="E505" s="166" t="str">
        <f t="shared" si="21"/>
        <v/>
      </c>
      <c r="F505" s="166" t="str">
        <f>IF($A505&gt;MIN($A$10,$A$2),"",IF($A505&lt;50,"n.a.",IF(COUNT(INDEX(StockDaily[Adjusted close],MAX(1,$A505-50+1)):E505)=50,AVERAGE(INDEX(StockDaily[Adjusted close],MAX(1,$A505-50+1)):E505),"n.a.")))</f>
        <v/>
      </c>
      <c r="G505" s="166" t="str">
        <f>IF($A505&gt;MIN($A$10,$A$2),"",IF($A505&lt;200,"n.a.",IF(COUNT(INDEX(StockDaily[Adjusted close],MAX(1,$A505-200+1)):E505)=200,AVERAGE(INDEX(StockDaily[Adjusted close],MAX(1,$A505-200+1)):E505),"n.a.")))</f>
        <v/>
      </c>
      <c r="H505" s="136" t="str">
        <f>IF($A505&gt;MIN($A$10,$A$2),"",IF($A$5="","Choose stock",IF(NOT($A$12),"Check split rule",IF(NOT(ISNUMBER(B505)),"Invalid date",IF(OR(B505&lt;=0,B505&lt;&gt;INT(B505)),"Invalid date",IF(COUNTIFS(DemoHistory[Date],B505)&lt;&gt;1,"Duplicate date",IF(AND($A505&gt;1,B505&lt;=B504),"Dates out of order",IF(NOT(ISNUMBER(C505)),"Missing price",IF(C505&lt;=0,"Nonpositive price","OK")))))))))</f>
        <v/>
      </c>
      <c r="I505" s="136"/>
      <c r="J505" s="136"/>
      <c r="K505" s="136"/>
      <c r="L505" s="136"/>
      <c r="M505" s="136"/>
      <c r="N505" s="136" t="e">
        <f t="shared" si="22"/>
        <v>#N/A</v>
      </c>
      <c r="O505" s="136" t="e">
        <f t="shared" si="23"/>
        <v>#N/A</v>
      </c>
    </row>
    <row r="506" spans="1:15" ht="22.05" customHeight="1" x14ac:dyDescent="0.3">
      <c r="A506" s="136">
        <v>462</v>
      </c>
      <c r="B506" s="165" t="str">
        <f>IF($A506&gt;MIN($A$10,$A$2),"",INDEX(DemoHistory[Date],$A506))</f>
        <v/>
      </c>
      <c r="C506" s="166" t="str">
        <f>IF(OR($A506&gt;MIN($A$10,$A$2),$A$5=""),"",INDEX(DemoHistory[],$A506,MATCH($A$5,DemoHistory[#Headers],0)))</f>
        <v/>
      </c>
      <c r="D506" s="166" t="str">
        <f>IF($A506&gt;MIN($A$10,$A$2),"",IF(AND($A$12,$A$6=1,B506&lt;$A$7,$A$7&lt;=MAX(DemoHistory[Date])),$A$8,1))</f>
        <v/>
      </c>
      <c r="E506" s="166" t="str">
        <f t="shared" si="21"/>
        <v/>
      </c>
      <c r="F506" s="166" t="str">
        <f>IF($A506&gt;MIN($A$10,$A$2),"",IF($A506&lt;50,"n.a.",IF(COUNT(INDEX(StockDaily[Adjusted close],MAX(1,$A506-50+1)):E506)=50,AVERAGE(INDEX(StockDaily[Adjusted close],MAX(1,$A506-50+1)):E506),"n.a.")))</f>
        <v/>
      </c>
      <c r="G506" s="166" t="str">
        <f>IF($A506&gt;MIN($A$10,$A$2),"",IF($A506&lt;200,"n.a.",IF(COUNT(INDEX(StockDaily[Adjusted close],MAX(1,$A506-200+1)):E506)=200,AVERAGE(INDEX(StockDaily[Adjusted close],MAX(1,$A506-200+1)):E506),"n.a.")))</f>
        <v/>
      </c>
      <c r="H506" s="136" t="str">
        <f>IF($A506&gt;MIN($A$10,$A$2),"",IF($A$5="","Choose stock",IF(NOT($A$12),"Check split rule",IF(NOT(ISNUMBER(B506)),"Invalid date",IF(OR(B506&lt;=0,B506&lt;&gt;INT(B506)),"Invalid date",IF(COUNTIFS(DemoHistory[Date],B506)&lt;&gt;1,"Duplicate date",IF(AND($A506&gt;1,B506&lt;=B505),"Dates out of order",IF(NOT(ISNUMBER(C506)),"Missing price",IF(C506&lt;=0,"Nonpositive price","OK")))))))))</f>
        <v/>
      </c>
      <c r="I506" s="136"/>
      <c r="J506" s="136"/>
      <c r="K506" s="136"/>
      <c r="L506" s="136"/>
      <c r="M506" s="136"/>
      <c r="N506" s="136" t="e">
        <f t="shared" si="22"/>
        <v>#N/A</v>
      </c>
      <c r="O506" s="136" t="e">
        <f t="shared" si="23"/>
        <v>#N/A</v>
      </c>
    </row>
    <row r="507" spans="1:15" ht="22.05" customHeight="1" x14ac:dyDescent="0.3">
      <c r="A507" s="136">
        <v>463</v>
      </c>
      <c r="B507" s="165" t="str">
        <f>IF($A507&gt;MIN($A$10,$A$2),"",INDEX(DemoHistory[Date],$A507))</f>
        <v/>
      </c>
      <c r="C507" s="166" t="str">
        <f>IF(OR($A507&gt;MIN($A$10,$A$2),$A$5=""),"",INDEX(DemoHistory[],$A507,MATCH($A$5,DemoHistory[#Headers],0)))</f>
        <v/>
      </c>
      <c r="D507" s="166" t="str">
        <f>IF($A507&gt;MIN($A$10,$A$2),"",IF(AND($A$12,$A$6=1,B507&lt;$A$7,$A$7&lt;=MAX(DemoHistory[Date])),$A$8,1))</f>
        <v/>
      </c>
      <c r="E507" s="166" t="str">
        <f t="shared" si="21"/>
        <v/>
      </c>
      <c r="F507" s="166" t="str">
        <f>IF($A507&gt;MIN($A$10,$A$2),"",IF($A507&lt;50,"n.a.",IF(COUNT(INDEX(StockDaily[Adjusted close],MAX(1,$A507-50+1)):E507)=50,AVERAGE(INDEX(StockDaily[Adjusted close],MAX(1,$A507-50+1)):E507),"n.a.")))</f>
        <v/>
      </c>
      <c r="G507" s="166" t="str">
        <f>IF($A507&gt;MIN($A$10,$A$2),"",IF($A507&lt;200,"n.a.",IF(COUNT(INDEX(StockDaily[Adjusted close],MAX(1,$A507-200+1)):E507)=200,AVERAGE(INDEX(StockDaily[Adjusted close],MAX(1,$A507-200+1)):E507),"n.a.")))</f>
        <v/>
      </c>
      <c r="H507" s="136" t="str">
        <f>IF($A507&gt;MIN($A$10,$A$2),"",IF($A$5="","Choose stock",IF(NOT($A$12),"Check split rule",IF(NOT(ISNUMBER(B507)),"Invalid date",IF(OR(B507&lt;=0,B507&lt;&gt;INT(B507)),"Invalid date",IF(COUNTIFS(DemoHistory[Date],B507)&lt;&gt;1,"Duplicate date",IF(AND($A507&gt;1,B507&lt;=B506),"Dates out of order",IF(NOT(ISNUMBER(C507)),"Missing price",IF(C507&lt;=0,"Nonpositive price","OK")))))))))</f>
        <v/>
      </c>
      <c r="I507" s="136"/>
      <c r="J507" s="136"/>
      <c r="K507" s="136"/>
      <c r="L507" s="136"/>
      <c r="M507" s="136"/>
      <c r="N507" s="136" t="e">
        <f t="shared" si="22"/>
        <v>#N/A</v>
      </c>
      <c r="O507" s="136" t="e">
        <f t="shared" si="23"/>
        <v>#N/A</v>
      </c>
    </row>
    <row r="508" spans="1:15" ht="22.05" customHeight="1" x14ac:dyDescent="0.3">
      <c r="A508" s="136">
        <v>464</v>
      </c>
      <c r="B508" s="165" t="str">
        <f>IF($A508&gt;MIN($A$10,$A$2),"",INDEX(DemoHistory[Date],$A508))</f>
        <v/>
      </c>
      <c r="C508" s="166" t="str">
        <f>IF(OR($A508&gt;MIN($A$10,$A$2),$A$5=""),"",INDEX(DemoHistory[],$A508,MATCH($A$5,DemoHistory[#Headers],0)))</f>
        <v/>
      </c>
      <c r="D508" s="166" t="str">
        <f>IF($A508&gt;MIN($A$10,$A$2),"",IF(AND($A$12,$A$6=1,B508&lt;$A$7,$A$7&lt;=MAX(DemoHistory[Date])),$A$8,1))</f>
        <v/>
      </c>
      <c r="E508" s="166" t="str">
        <f t="shared" si="21"/>
        <v/>
      </c>
      <c r="F508" s="166" t="str">
        <f>IF($A508&gt;MIN($A$10,$A$2),"",IF($A508&lt;50,"n.a.",IF(COUNT(INDEX(StockDaily[Adjusted close],MAX(1,$A508-50+1)):E508)=50,AVERAGE(INDEX(StockDaily[Adjusted close],MAX(1,$A508-50+1)):E508),"n.a.")))</f>
        <v/>
      </c>
      <c r="G508" s="166" t="str">
        <f>IF($A508&gt;MIN($A$10,$A$2),"",IF($A508&lt;200,"n.a.",IF(COUNT(INDEX(StockDaily[Adjusted close],MAX(1,$A508-200+1)):E508)=200,AVERAGE(INDEX(StockDaily[Adjusted close],MAX(1,$A508-200+1)):E508),"n.a.")))</f>
        <v/>
      </c>
      <c r="H508" s="136" t="str">
        <f>IF($A508&gt;MIN($A$10,$A$2),"",IF($A$5="","Choose stock",IF(NOT($A$12),"Check split rule",IF(NOT(ISNUMBER(B508)),"Invalid date",IF(OR(B508&lt;=0,B508&lt;&gt;INT(B508)),"Invalid date",IF(COUNTIFS(DemoHistory[Date],B508)&lt;&gt;1,"Duplicate date",IF(AND($A508&gt;1,B508&lt;=B507),"Dates out of order",IF(NOT(ISNUMBER(C508)),"Missing price",IF(C508&lt;=0,"Nonpositive price","OK")))))))))</f>
        <v/>
      </c>
      <c r="I508" s="136"/>
      <c r="J508" s="136"/>
      <c r="K508" s="136"/>
      <c r="L508" s="136"/>
      <c r="M508" s="136"/>
      <c r="N508" s="136" t="e">
        <f t="shared" si="22"/>
        <v>#N/A</v>
      </c>
      <c r="O508" s="136" t="e">
        <f t="shared" si="23"/>
        <v>#N/A</v>
      </c>
    </row>
    <row r="509" spans="1:15" ht="22.05" customHeight="1" x14ac:dyDescent="0.3">
      <c r="A509" s="136">
        <v>465</v>
      </c>
      <c r="B509" s="165" t="str">
        <f>IF($A509&gt;MIN($A$10,$A$2),"",INDEX(DemoHistory[Date],$A509))</f>
        <v/>
      </c>
      <c r="C509" s="166" t="str">
        <f>IF(OR($A509&gt;MIN($A$10,$A$2),$A$5=""),"",INDEX(DemoHistory[],$A509,MATCH($A$5,DemoHistory[#Headers],0)))</f>
        <v/>
      </c>
      <c r="D509" s="166" t="str">
        <f>IF($A509&gt;MIN($A$10,$A$2),"",IF(AND($A$12,$A$6=1,B509&lt;$A$7,$A$7&lt;=MAX(DemoHistory[Date])),$A$8,1))</f>
        <v/>
      </c>
      <c r="E509" s="166" t="str">
        <f t="shared" si="21"/>
        <v/>
      </c>
      <c r="F509" s="166" t="str">
        <f>IF($A509&gt;MIN($A$10,$A$2),"",IF($A509&lt;50,"n.a.",IF(COUNT(INDEX(StockDaily[Adjusted close],MAX(1,$A509-50+1)):E509)=50,AVERAGE(INDEX(StockDaily[Adjusted close],MAX(1,$A509-50+1)):E509),"n.a.")))</f>
        <v/>
      </c>
      <c r="G509" s="166" t="str">
        <f>IF($A509&gt;MIN($A$10,$A$2),"",IF($A509&lt;200,"n.a.",IF(COUNT(INDEX(StockDaily[Adjusted close],MAX(1,$A509-200+1)):E509)=200,AVERAGE(INDEX(StockDaily[Adjusted close],MAX(1,$A509-200+1)):E509),"n.a.")))</f>
        <v/>
      </c>
      <c r="H509" s="136" t="str">
        <f>IF($A509&gt;MIN($A$10,$A$2),"",IF($A$5="","Choose stock",IF(NOT($A$12),"Check split rule",IF(NOT(ISNUMBER(B509)),"Invalid date",IF(OR(B509&lt;=0,B509&lt;&gt;INT(B509)),"Invalid date",IF(COUNTIFS(DemoHistory[Date],B509)&lt;&gt;1,"Duplicate date",IF(AND($A509&gt;1,B509&lt;=B508),"Dates out of order",IF(NOT(ISNUMBER(C509)),"Missing price",IF(C509&lt;=0,"Nonpositive price","OK")))))))))</f>
        <v/>
      </c>
      <c r="I509" s="136"/>
      <c r="J509" s="136"/>
      <c r="K509" s="136"/>
      <c r="L509" s="136"/>
      <c r="M509" s="136"/>
      <c r="N509" s="136" t="e">
        <f t="shared" si="22"/>
        <v>#N/A</v>
      </c>
      <c r="O509" s="136" t="e">
        <f t="shared" si="23"/>
        <v>#N/A</v>
      </c>
    </row>
    <row r="510" spans="1:15" ht="22.05" customHeight="1" x14ac:dyDescent="0.3">
      <c r="A510" s="136">
        <v>466</v>
      </c>
      <c r="B510" s="165" t="str">
        <f>IF($A510&gt;MIN($A$10,$A$2),"",INDEX(DemoHistory[Date],$A510))</f>
        <v/>
      </c>
      <c r="C510" s="166" t="str">
        <f>IF(OR($A510&gt;MIN($A$10,$A$2),$A$5=""),"",INDEX(DemoHistory[],$A510,MATCH($A$5,DemoHistory[#Headers],0)))</f>
        <v/>
      </c>
      <c r="D510" s="166" t="str">
        <f>IF($A510&gt;MIN($A$10,$A$2),"",IF(AND($A$12,$A$6=1,B510&lt;$A$7,$A$7&lt;=MAX(DemoHistory[Date])),$A$8,1))</f>
        <v/>
      </c>
      <c r="E510" s="166" t="str">
        <f t="shared" si="21"/>
        <v/>
      </c>
      <c r="F510" s="166" t="str">
        <f>IF($A510&gt;MIN($A$10,$A$2),"",IF($A510&lt;50,"n.a.",IF(COUNT(INDEX(StockDaily[Adjusted close],MAX(1,$A510-50+1)):E510)=50,AVERAGE(INDEX(StockDaily[Adjusted close],MAX(1,$A510-50+1)):E510),"n.a.")))</f>
        <v/>
      </c>
      <c r="G510" s="166" t="str">
        <f>IF($A510&gt;MIN($A$10,$A$2),"",IF($A510&lt;200,"n.a.",IF(COUNT(INDEX(StockDaily[Adjusted close],MAX(1,$A510-200+1)):E510)=200,AVERAGE(INDEX(StockDaily[Adjusted close],MAX(1,$A510-200+1)):E510),"n.a.")))</f>
        <v/>
      </c>
      <c r="H510" s="136" t="str">
        <f>IF($A510&gt;MIN($A$10,$A$2),"",IF($A$5="","Choose stock",IF(NOT($A$12),"Check split rule",IF(NOT(ISNUMBER(B510)),"Invalid date",IF(OR(B510&lt;=0,B510&lt;&gt;INT(B510)),"Invalid date",IF(COUNTIFS(DemoHistory[Date],B510)&lt;&gt;1,"Duplicate date",IF(AND($A510&gt;1,B510&lt;=B509),"Dates out of order",IF(NOT(ISNUMBER(C510)),"Missing price",IF(C510&lt;=0,"Nonpositive price","OK")))))))))</f>
        <v/>
      </c>
      <c r="I510" s="136"/>
      <c r="J510" s="136"/>
      <c r="K510" s="136"/>
      <c r="L510" s="136"/>
      <c r="M510" s="136"/>
      <c r="N510" s="136" t="e">
        <f t="shared" si="22"/>
        <v>#N/A</v>
      </c>
      <c r="O510" s="136" t="e">
        <f t="shared" si="23"/>
        <v>#N/A</v>
      </c>
    </row>
    <row r="511" spans="1:15" ht="22.05" customHeight="1" x14ac:dyDescent="0.3">
      <c r="A511" s="136">
        <v>467</v>
      </c>
      <c r="B511" s="165" t="str">
        <f>IF($A511&gt;MIN($A$10,$A$2),"",INDEX(DemoHistory[Date],$A511))</f>
        <v/>
      </c>
      <c r="C511" s="166" t="str">
        <f>IF(OR($A511&gt;MIN($A$10,$A$2),$A$5=""),"",INDEX(DemoHistory[],$A511,MATCH($A$5,DemoHistory[#Headers],0)))</f>
        <v/>
      </c>
      <c r="D511" s="166" t="str">
        <f>IF($A511&gt;MIN($A$10,$A$2),"",IF(AND($A$12,$A$6=1,B511&lt;$A$7,$A$7&lt;=MAX(DemoHistory[Date])),$A$8,1))</f>
        <v/>
      </c>
      <c r="E511" s="166" t="str">
        <f t="shared" si="21"/>
        <v/>
      </c>
      <c r="F511" s="166" t="str">
        <f>IF($A511&gt;MIN($A$10,$A$2),"",IF($A511&lt;50,"n.a.",IF(COUNT(INDEX(StockDaily[Adjusted close],MAX(1,$A511-50+1)):E511)=50,AVERAGE(INDEX(StockDaily[Adjusted close],MAX(1,$A511-50+1)):E511),"n.a.")))</f>
        <v/>
      </c>
      <c r="G511" s="166" t="str">
        <f>IF($A511&gt;MIN($A$10,$A$2),"",IF($A511&lt;200,"n.a.",IF(COUNT(INDEX(StockDaily[Adjusted close],MAX(1,$A511-200+1)):E511)=200,AVERAGE(INDEX(StockDaily[Adjusted close],MAX(1,$A511-200+1)):E511),"n.a.")))</f>
        <v/>
      </c>
      <c r="H511" s="136" t="str">
        <f>IF($A511&gt;MIN($A$10,$A$2),"",IF($A$5="","Choose stock",IF(NOT($A$12),"Check split rule",IF(NOT(ISNUMBER(B511)),"Invalid date",IF(OR(B511&lt;=0,B511&lt;&gt;INT(B511)),"Invalid date",IF(COUNTIFS(DemoHistory[Date],B511)&lt;&gt;1,"Duplicate date",IF(AND($A511&gt;1,B511&lt;=B510),"Dates out of order",IF(NOT(ISNUMBER(C511)),"Missing price",IF(C511&lt;=0,"Nonpositive price","OK")))))))))</f>
        <v/>
      </c>
      <c r="I511" s="136"/>
      <c r="J511" s="136"/>
      <c r="K511" s="136"/>
      <c r="L511" s="136"/>
      <c r="M511" s="136"/>
      <c r="N511" s="136" t="e">
        <f t="shared" si="22"/>
        <v>#N/A</v>
      </c>
      <c r="O511" s="136" t="e">
        <f t="shared" si="23"/>
        <v>#N/A</v>
      </c>
    </row>
    <row r="512" spans="1:15" ht="22.05" customHeight="1" x14ac:dyDescent="0.3">
      <c r="A512" s="136">
        <v>468</v>
      </c>
      <c r="B512" s="165" t="str">
        <f>IF($A512&gt;MIN($A$10,$A$2),"",INDEX(DemoHistory[Date],$A512))</f>
        <v/>
      </c>
      <c r="C512" s="166" t="str">
        <f>IF(OR($A512&gt;MIN($A$10,$A$2),$A$5=""),"",INDEX(DemoHistory[],$A512,MATCH($A$5,DemoHistory[#Headers],0)))</f>
        <v/>
      </c>
      <c r="D512" s="166" t="str">
        <f>IF($A512&gt;MIN($A$10,$A$2),"",IF(AND($A$12,$A$6=1,B512&lt;$A$7,$A$7&lt;=MAX(DemoHistory[Date])),$A$8,1))</f>
        <v/>
      </c>
      <c r="E512" s="166" t="str">
        <f t="shared" si="21"/>
        <v/>
      </c>
      <c r="F512" s="166" t="str">
        <f>IF($A512&gt;MIN($A$10,$A$2),"",IF($A512&lt;50,"n.a.",IF(COUNT(INDEX(StockDaily[Adjusted close],MAX(1,$A512-50+1)):E512)=50,AVERAGE(INDEX(StockDaily[Adjusted close],MAX(1,$A512-50+1)):E512),"n.a.")))</f>
        <v/>
      </c>
      <c r="G512" s="166" t="str">
        <f>IF($A512&gt;MIN($A$10,$A$2),"",IF($A512&lt;200,"n.a.",IF(COUNT(INDEX(StockDaily[Adjusted close],MAX(1,$A512-200+1)):E512)=200,AVERAGE(INDEX(StockDaily[Adjusted close],MAX(1,$A512-200+1)):E512),"n.a.")))</f>
        <v/>
      </c>
      <c r="H512" s="136" t="str">
        <f>IF($A512&gt;MIN($A$10,$A$2),"",IF($A$5="","Choose stock",IF(NOT($A$12),"Check split rule",IF(NOT(ISNUMBER(B512)),"Invalid date",IF(OR(B512&lt;=0,B512&lt;&gt;INT(B512)),"Invalid date",IF(COUNTIFS(DemoHistory[Date],B512)&lt;&gt;1,"Duplicate date",IF(AND($A512&gt;1,B512&lt;=B511),"Dates out of order",IF(NOT(ISNUMBER(C512)),"Missing price",IF(C512&lt;=0,"Nonpositive price","OK")))))))))</f>
        <v/>
      </c>
      <c r="I512" s="136"/>
      <c r="J512" s="136"/>
      <c r="K512" s="136"/>
      <c r="L512" s="136"/>
      <c r="M512" s="136"/>
      <c r="N512" s="136" t="e">
        <f t="shared" si="22"/>
        <v>#N/A</v>
      </c>
      <c r="O512" s="136" t="e">
        <f t="shared" si="23"/>
        <v>#N/A</v>
      </c>
    </row>
    <row r="513" spans="1:15" ht="22.05" customHeight="1" x14ac:dyDescent="0.3">
      <c r="A513" s="136">
        <v>469</v>
      </c>
      <c r="B513" s="165" t="str">
        <f>IF($A513&gt;MIN($A$10,$A$2),"",INDEX(DemoHistory[Date],$A513))</f>
        <v/>
      </c>
      <c r="C513" s="166" t="str">
        <f>IF(OR($A513&gt;MIN($A$10,$A$2),$A$5=""),"",INDEX(DemoHistory[],$A513,MATCH($A$5,DemoHistory[#Headers],0)))</f>
        <v/>
      </c>
      <c r="D513" s="166" t="str">
        <f>IF($A513&gt;MIN($A$10,$A$2),"",IF(AND($A$12,$A$6=1,B513&lt;$A$7,$A$7&lt;=MAX(DemoHistory[Date])),$A$8,1))</f>
        <v/>
      </c>
      <c r="E513" s="166" t="str">
        <f t="shared" si="21"/>
        <v/>
      </c>
      <c r="F513" s="166" t="str">
        <f>IF($A513&gt;MIN($A$10,$A$2),"",IF($A513&lt;50,"n.a.",IF(COUNT(INDEX(StockDaily[Adjusted close],MAX(1,$A513-50+1)):E513)=50,AVERAGE(INDEX(StockDaily[Adjusted close],MAX(1,$A513-50+1)):E513),"n.a.")))</f>
        <v/>
      </c>
      <c r="G513" s="166" t="str">
        <f>IF($A513&gt;MIN($A$10,$A$2),"",IF($A513&lt;200,"n.a.",IF(COUNT(INDEX(StockDaily[Adjusted close],MAX(1,$A513-200+1)):E513)=200,AVERAGE(INDEX(StockDaily[Adjusted close],MAX(1,$A513-200+1)):E513),"n.a.")))</f>
        <v/>
      </c>
      <c r="H513" s="136" t="str">
        <f>IF($A513&gt;MIN($A$10,$A$2),"",IF($A$5="","Choose stock",IF(NOT($A$12),"Check split rule",IF(NOT(ISNUMBER(B513)),"Invalid date",IF(OR(B513&lt;=0,B513&lt;&gt;INT(B513)),"Invalid date",IF(COUNTIFS(DemoHistory[Date],B513)&lt;&gt;1,"Duplicate date",IF(AND($A513&gt;1,B513&lt;=B512),"Dates out of order",IF(NOT(ISNUMBER(C513)),"Missing price",IF(C513&lt;=0,"Nonpositive price","OK")))))))))</f>
        <v/>
      </c>
      <c r="I513" s="136"/>
      <c r="J513" s="136"/>
      <c r="K513" s="136"/>
      <c r="L513" s="136"/>
      <c r="M513" s="136"/>
      <c r="N513" s="136" t="e">
        <f t="shared" si="22"/>
        <v>#N/A</v>
      </c>
      <c r="O513" s="136" t="e">
        <f t="shared" si="23"/>
        <v>#N/A</v>
      </c>
    </row>
    <row r="514" spans="1:15" ht="22.05" customHeight="1" x14ac:dyDescent="0.3">
      <c r="A514" s="136">
        <v>470</v>
      </c>
      <c r="B514" s="165" t="str">
        <f>IF($A514&gt;MIN($A$10,$A$2),"",INDEX(DemoHistory[Date],$A514))</f>
        <v/>
      </c>
      <c r="C514" s="166" t="str">
        <f>IF(OR($A514&gt;MIN($A$10,$A$2),$A$5=""),"",INDEX(DemoHistory[],$A514,MATCH($A$5,DemoHistory[#Headers],0)))</f>
        <v/>
      </c>
      <c r="D514" s="166" t="str">
        <f>IF($A514&gt;MIN($A$10,$A$2),"",IF(AND($A$12,$A$6=1,B514&lt;$A$7,$A$7&lt;=MAX(DemoHistory[Date])),$A$8,1))</f>
        <v/>
      </c>
      <c r="E514" s="166" t="str">
        <f t="shared" si="21"/>
        <v/>
      </c>
      <c r="F514" s="166" t="str">
        <f>IF($A514&gt;MIN($A$10,$A$2),"",IF($A514&lt;50,"n.a.",IF(COUNT(INDEX(StockDaily[Adjusted close],MAX(1,$A514-50+1)):E514)=50,AVERAGE(INDEX(StockDaily[Adjusted close],MAX(1,$A514-50+1)):E514),"n.a.")))</f>
        <v/>
      </c>
      <c r="G514" s="166" t="str">
        <f>IF($A514&gt;MIN($A$10,$A$2),"",IF($A514&lt;200,"n.a.",IF(COUNT(INDEX(StockDaily[Adjusted close],MAX(1,$A514-200+1)):E514)=200,AVERAGE(INDEX(StockDaily[Adjusted close],MAX(1,$A514-200+1)):E514),"n.a.")))</f>
        <v/>
      </c>
      <c r="H514" s="136" t="str">
        <f>IF($A514&gt;MIN($A$10,$A$2),"",IF($A$5="","Choose stock",IF(NOT($A$12),"Check split rule",IF(NOT(ISNUMBER(B514)),"Invalid date",IF(OR(B514&lt;=0,B514&lt;&gt;INT(B514)),"Invalid date",IF(COUNTIFS(DemoHistory[Date],B514)&lt;&gt;1,"Duplicate date",IF(AND($A514&gt;1,B514&lt;=B513),"Dates out of order",IF(NOT(ISNUMBER(C514)),"Missing price",IF(C514&lt;=0,"Nonpositive price","OK")))))))))</f>
        <v/>
      </c>
      <c r="I514" s="136"/>
      <c r="J514" s="136"/>
      <c r="K514" s="136"/>
      <c r="L514" s="136"/>
      <c r="M514" s="136"/>
      <c r="N514" s="136" t="e">
        <f t="shared" si="22"/>
        <v>#N/A</v>
      </c>
      <c r="O514" s="136" t="e">
        <f t="shared" si="23"/>
        <v>#N/A</v>
      </c>
    </row>
    <row r="515" spans="1:15" ht="22.05" customHeight="1" x14ac:dyDescent="0.3">
      <c r="A515" s="136">
        <v>471</v>
      </c>
      <c r="B515" s="165" t="str">
        <f>IF($A515&gt;MIN($A$10,$A$2),"",INDEX(DemoHistory[Date],$A515))</f>
        <v/>
      </c>
      <c r="C515" s="166" t="str">
        <f>IF(OR($A515&gt;MIN($A$10,$A$2),$A$5=""),"",INDEX(DemoHistory[],$A515,MATCH($A$5,DemoHistory[#Headers],0)))</f>
        <v/>
      </c>
      <c r="D515" s="166" t="str">
        <f>IF($A515&gt;MIN($A$10,$A$2),"",IF(AND($A$12,$A$6=1,B515&lt;$A$7,$A$7&lt;=MAX(DemoHistory[Date])),$A$8,1))</f>
        <v/>
      </c>
      <c r="E515" s="166" t="str">
        <f t="shared" si="21"/>
        <v/>
      </c>
      <c r="F515" s="166" t="str">
        <f>IF($A515&gt;MIN($A$10,$A$2),"",IF($A515&lt;50,"n.a.",IF(COUNT(INDEX(StockDaily[Adjusted close],MAX(1,$A515-50+1)):E515)=50,AVERAGE(INDEX(StockDaily[Adjusted close],MAX(1,$A515-50+1)):E515),"n.a.")))</f>
        <v/>
      </c>
      <c r="G515" s="166" t="str">
        <f>IF($A515&gt;MIN($A$10,$A$2),"",IF($A515&lt;200,"n.a.",IF(COUNT(INDEX(StockDaily[Adjusted close],MAX(1,$A515-200+1)):E515)=200,AVERAGE(INDEX(StockDaily[Adjusted close],MAX(1,$A515-200+1)):E515),"n.a.")))</f>
        <v/>
      </c>
      <c r="H515" s="136" t="str">
        <f>IF($A515&gt;MIN($A$10,$A$2),"",IF($A$5="","Choose stock",IF(NOT($A$12),"Check split rule",IF(NOT(ISNUMBER(B515)),"Invalid date",IF(OR(B515&lt;=0,B515&lt;&gt;INT(B515)),"Invalid date",IF(COUNTIFS(DemoHistory[Date],B515)&lt;&gt;1,"Duplicate date",IF(AND($A515&gt;1,B515&lt;=B514),"Dates out of order",IF(NOT(ISNUMBER(C515)),"Missing price",IF(C515&lt;=0,"Nonpositive price","OK")))))))))</f>
        <v/>
      </c>
      <c r="I515" s="136"/>
      <c r="J515" s="136"/>
      <c r="K515" s="136"/>
      <c r="L515" s="136"/>
      <c r="M515" s="136"/>
      <c r="N515" s="136" t="e">
        <f t="shared" si="22"/>
        <v>#N/A</v>
      </c>
      <c r="O515" s="136" t="e">
        <f t="shared" si="23"/>
        <v>#N/A</v>
      </c>
    </row>
    <row r="516" spans="1:15" ht="22.05" customHeight="1" x14ac:dyDescent="0.3">
      <c r="A516" s="136">
        <v>472</v>
      </c>
      <c r="B516" s="165" t="str">
        <f>IF($A516&gt;MIN($A$10,$A$2),"",INDEX(DemoHistory[Date],$A516))</f>
        <v/>
      </c>
      <c r="C516" s="166" t="str">
        <f>IF(OR($A516&gt;MIN($A$10,$A$2),$A$5=""),"",INDEX(DemoHistory[],$A516,MATCH($A$5,DemoHistory[#Headers],0)))</f>
        <v/>
      </c>
      <c r="D516" s="166" t="str">
        <f>IF($A516&gt;MIN($A$10,$A$2),"",IF(AND($A$12,$A$6=1,B516&lt;$A$7,$A$7&lt;=MAX(DemoHistory[Date])),$A$8,1))</f>
        <v/>
      </c>
      <c r="E516" s="166" t="str">
        <f t="shared" si="21"/>
        <v/>
      </c>
      <c r="F516" s="166" t="str">
        <f>IF($A516&gt;MIN($A$10,$A$2),"",IF($A516&lt;50,"n.a.",IF(COUNT(INDEX(StockDaily[Adjusted close],MAX(1,$A516-50+1)):E516)=50,AVERAGE(INDEX(StockDaily[Adjusted close],MAX(1,$A516-50+1)):E516),"n.a.")))</f>
        <v/>
      </c>
      <c r="G516" s="166" t="str">
        <f>IF($A516&gt;MIN($A$10,$A$2),"",IF($A516&lt;200,"n.a.",IF(COUNT(INDEX(StockDaily[Adjusted close],MAX(1,$A516-200+1)):E516)=200,AVERAGE(INDEX(StockDaily[Adjusted close],MAX(1,$A516-200+1)):E516),"n.a.")))</f>
        <v/>
      </c>
      <c r="H516" s="136" t="str">
        <f>IF($A516&gt;MIN($A$10,$A$2),"",IF($A$5="","Choose stock",IF(NOT($A$12),"Check split rule",IF(NOT(ISNUMBER(B516)),"Invalid date",IF(OR(B516&lt;=0,B516&lt;&gt;INT(B516)),"Invalid date",IF(COUNTIFS(DemoHistory[Date],B516)&lt;&gt;1,"Duplicate date",IF(AND($A516&gt;1,B516&lt;=B515),"Dates out of order",IF(NOT(ISNUMBER(C516)),"Missing price",IF(C516&lt;=0,"Nonpositive price","OK")))))))))</f>
        <v/>
      </c>
      <c r="I516" s="136"/>
      <c r="J516" s="136"/>
      <c r="K516" s="136"/>
      <c r="L516" s="136"/>
      <c r="M516" s="136"/>
      <c r="N516" s="136" t="e">
        <f t="shared" si="22"/>
        <v>#N/A</v>
      </c>
      <c r="O516" s="136" t="e">
        <f t="shared" si="23"/>
        <v>#N/A</v>
      </c>
    </row>
    <row r="517" spans="1:15" ht="22.05" customHeight="1" x14ac:dyDescent="0.3">
      <c r="A517" s="136">
        <v>473</v>
      </c>
      <c r="B517" s="165" t="str">
        <f>IF($A517&gt;MIN($A$10,$A$2),"",INDEX(DemoHistory[Date],$A517))</f>
        <v/>
      </c>
      <c r="C517" s="166" t="str">
        <f>IF(OR($A517&gt;MIN($A$10,$A$2),$A$5=""),"",INDEX(DemoHistory[],$A517,MATCH($A$5,DemoHistory[#Headers],0)))</f>
        <v/>
      </c>
      <c r="D517" s="166" t="str">
        <f>IF($A517&gt;MIN($A$10,$A$2),"",IF(AND($A$12,$A$6=1,B517&lt;$A$7,$A$7&lt;=MAX(DemoHistory[Date])),$A$8,1))</f>
        <v/>
      </c>
      <c r="E517" s="166" t="str">
        <f t="shared" si="21"/>
        <v/>
      </c>
      <c r="F517" s="166" t="str">
        <f>IF($A517&gt;MIN($A$10,$A$2),"",IF($A517&lt;50,"n.a.",IF(COUNT(INDEX(StockDaily[Adjusted close],MAX(1,$A517-50+1)):E517)=50,AVERAGE(INDEX(StockDaily[Adjusted close],MAX(1,$A517-50+1)):E517),"n.a.")))</f>
        <v/>
      </c>
      <c r="G517" s="166" t="str">
        <f>IF($A517&gt;MIN($A$10,$A$2),"",IF($A517&lt;200,"n.a.",IF(COUNT(INDEX(StockDaily[Adjusted close],MAX(1,$A517-200+1)):E517)=200,AVERAGE(INDEX(StockDaily[Adjusted close],MAX(1,$A517-200+1)):E517),"n.a.")))</f>
        <v/>
      </c>
      <c r="H517" s="136" t="str">
        <f>IF($A517&gt;MIN($A$10,$A$2),"",IF($A$5="","Choose stock",IF(NOT($A$12),"Check split rule",IF(NOT(ISNUMBER(B517)),"Invalid date",IF(OR(B517&lt;=0,B517&lt;&gt;INT(B517)),"Invalid date",IF(COUNTIFS(DemoHistory[Date],B517)&lt;&gt;1,"Duplicate date",IF(AND($A517&gt;1,B517&lt;=B516),"Dates out of order",IF(NOT(ISNUMBER(C517)),"Missing price",IF(C517&lt;=0,"Nonpositive price","OK")))))))))</f>
        <v/>
      </c>
      <c r="I517" s="136"/>
      <c r="J517" s="136"/>
      <c r="K517" s="136"/>
      <c r="L517" s="136"/>
      <c r="M517" s="136"/>
      <c r="N517" s="136" t="e">
        <f t="shared" si="22"/>
        <v>#N/A</v>
      </c>
      <c r="O517" s="136" t="e">
        <f t="shared" si="23"/>
        <v>#N/A</v>
      </c>
    </row>
    <row r="518" spans="1:15" ht="22.05" customHeight="1" x14ac:dyDescent="0.3">
      <c r="A518" s="136">
        <v>474</v>
      </c>
      <c r="B518" s="165" t="str">
        <f>IF($A518&gt;MIN($A$10,$A$2),"",INDEX(DemoHistory[Date],$A518))</f>
        <v/>
      </c>
      <c r="C518" s="166" t="str">
        <f>IF(OR($A518&gt;MIN($A$10,$A$2),$A$5=""),"",INDEX(DemoHistory[],$A518,MATCH($A$5,DemoHistory[#Headers],0)))</f>
        <v/>
      </c>
      <c r="D518" s="166" t="str">
        <f>IF($A518&gt;MIN($A$10,$A$2),"",IF(AND($A$12,$A$6=1,B518&lt;$A$7,$A$7&lt;=MAX(DemoHistory[Date])),$A$8,1))</f>
        <v/>
      </c>
      <c r="E518" s="166" t="str">
        <f t="shared" si="21"/>
        <v/>
      </c>
      <c r="F518" s="166" t="str">
        <f>IF($A518&gt;MIN($A$10,$A$2),"",IF($A518&lt;50,"n.a.",IF(COUNT(INDEX(StockDaily[Adjusted close],MAX(1,$A518-50+1)):E518)=50,AVERAGE(INDEX(StockDaily[Adjusted close],MAX(1,$A518-50+1)):E518),"n.a.")))</f>
        <v/>
      </c>
      <c r="G518" s="166" t="str">
        <f>IF($A518&gt;MIN($A$10,$A$2),"",IF($A518&lt;200,"n.a.",IF(COUNT(INDEX(StockDaily[Adjusted close],MAX(1,$A518-200+1)):E518)=200,AVERAGE(INDEX(StockDaily[Adjusted close],MAX(1,$A518-200+1)):E518),"n.a.")))</f>
        <v/>
      </c>
      <c r="H518" s="136" t="str">
        <f>IF($A518&gt;MIN($A$10,$A$2),"",IF($A$5="","Choose stock",IF(NOT($A$12),"Check split rule",IF(NOT(ISNUMBER(B518)),"Invalid date",IF(OR(B518&lt;=0,B518&lt;&gt;INT(B518)),"Invalid date",IF(COUNTIFS(DemoHistory[Date],B518)&lt;&gt;1,"Duplicate date",IF(AND($A518&gt;1,B518&lt;=B517),"Dates out of order",IF(NOT(ISNUMBER(C518)),"Missing price",IF(C518&lt;=0,"Nonpositive price","OK")))))))))</f>
        <v/>
      </c>
      <c r="I518" s="136"/>
      <c r="J518" s="136"/>
      <c r="K518" s="136"/>
      <c r="L518" s="136"/>
      <c r="M518" s="136"/>
      <c r="N518" s="136" t="e">
        <f t="shared" si="22"/>
        <v>#N/A</v>
      </c>
      <c r="O518" s="136" t="e">
        <f t="shared" si="23"/>
        <v>#N/A</v>
      </c>
    </row>
    <row r="519" spans="1:15" ht="22.05" customHeight="1" x14ac:dyDescent="0.3">
      <c r="A519" s="136">
        <v>475</v>
      </c>
      <c r="B519" s="165" t="str">
        <f>IF($A519&gt;MIN($A$10,$A$2),"",INDEX(DemoHistory[Date],$A519))</f>
        <v/>
      </c>
      <c r="C519" s="166" t="str">
        <f>IF(OR($A519&gt;MIN($A$10,$A$2),$A$5=""),"",INDEX(DemoHistory[],$A519,MATCH($A$5,DemoHistory[#Headers],0)))</f>
        <v/>
      </c>
      <c r="D519" s="166" t="str">
        <f>IF($A519&gt;MIN($A$10,$A$2),"",IF(AND($A$12,$A$6=1,B519&lt;$A$7,$A$7&lt;=MAX(DemoHistory[Date])),$A$8,1))</f>
        <v/>
      </c>
      <c r="E519" s="166" t="str">
        <f t="shared" si="21"/>
        <v/>
      </c>
      <c r="F519" s="166" t="str">
        <f>IF($A519&gt;MIN($A$10,$A$2),"",IF($A519&lt;50,"n.a.",IF(COUNT(INDEX(StockDaily[Adjusted close],MAX(1,$A519-50+1)):E519)=50,AVERAGE(INDEX(StockDaily[Adjusted close],MAX(1,$A519-50+1)):E519),"n.a.")))</f>
        <v/>
      </c>
      <c r="G519" s="166" t="str">
        <f>IF($A519&gt;MIN($A$10,$A$2),"",IF($A519&lt;200,"n.a.",IF(COUNT(INDEX(StockDaily[Adjusted close],MAX(1,$A519-200+1)):E519)=200,AVERAGE(INDEX(StockDaily[Adjusted close],MAX(1,$A519-200+1)):E519),"n.a.")))</f>
        <v/>
      </c>
      <c r="H519" s="136" t="str">
        <f>IF($A519&gt;MIN($A$10,$A$2),"",IF($A$5="","Choose stock",IF(NOT($A$12),"Check split rule",IF(NOT(ISNUMBER(B519)),"Invalid date",IF(OR(B519&lt;=0,B519&lt;&gt;INT(B519)),"Invalid date",IF(COUNTIFS(DemoHistory[Date],B519)&lt;&gt;1,"Duplicate date",IF(AND($A519&gt;1,B519&lt;=B518),"Dates out of order",IF(NOT(ISNUMBER(C519)),"Missing price",IF(C519&lt;=0,"Nonpositive price","OK")))))))))</f>
        <v/>
      </c>
      <c r="I519" s="136"/>
      <c r="J519" s="136"/>
      <c r="K519" s="136"/>
      <c r="L519" s="136"/>
      <c r="M519" s="136"/>
      <c r="N519" s="136" t="e">
        <f t="shared" si="22"/>
        <v>#N/A</v>
      </c>
      <c r="O519" s="136" t="e">
        <f t="shared" si="23"/>
        <v>#N/A</v>
      </c>
    </row>
    <row r="520" spans="1:15" ht="22.05" customHeight="1" x14ac:dyDescent="0.3">
      <c r="A520" s="136">
        <v>476</v>
      </c>
      <c r="B520" s="165" t="str">
        <f>IF($A520&gt;MIN($A$10,$A$2),"",INDEX(DemoHistory[Date],$A520))</f>
        <v/>
      </c>
      <c r="C520" s="166" t="str">
        <f>IF(OR($A520&gt;MIN($A$10,$A$2),$A$5=""),"",INDEX(DemoHistory[],$A520,MATCH($A$5,DemoHistory[#Headers],0)))</f>
        <v/>
      </c>
      <c r="D520" s="166" t="str">
        <f>IF($A520&gt;MIN($A$10,$A$2),"",IF(AND($A$12,$A$6=1,B520&lt;$A$7,$A$7&lt;=MAX(DemoHistory[Date])),$A$8,1))</f>
        <v/>
      </c>
      <c r="E520" s="166" t="str">
        <f t="shared" si="21"/>
        <v/>
      </c>
      <c r="F520" s="166" t="str">
        <f>IF($A520&gt;MIN($A$10,$A$2),"",IF($A520&lt;50,"n.a.",IF(COUNT(INDEX(StockDaily[Adjusted close],MAX(1,$A520-50+1)):E520)=50,AVERAGE(INDEX(StockDaily[Adjusted close],MAX(1,$A520-50+1)):E520),"n.a.")))</f>
        <v/>
      </c>
      <c r="G520" s="166" t="str">
        <f>IF($A520&gt;MIN($A$10,$A$2),"",IF($A520&lt;200,"n.a.",IF(COUNT(INDEX(StockDaily[Adjusted close],MAX(1,$A520-200+1)):E520)=200,AVERAGE(INDEX(StockDaily[Adjusted close],MAX(1,$A520-200+1)):E520),"n.a.")))</f>
        <v/>
      </c>
      <c r="H520" s="136" t="str">
        <f>IF($A520&gt;MIN($A$10,$A$2),"",IF($A$5="","Choose stock",IF(NOT($A$12),"Check split rule",IF(NOT(ISNUMBER(B520)),"Invalid date",IF(OR(B520&lt;=0,B520&lt;&gt;INT(B520)),"Invalid date",IF(COUNTIFS(DemoHistory[Date],B520)&lt;&gt;1,"Duplicate date",IF(AND($A520&gt;1,B520&lt;=B519),"Dates out of order",IF(NOT(ISNUMBER(C520)),"Missing price",IF(C520&lt;=0,"Nonpositive price","OK")))))))))</f>
        <v/>
      </c>
      <c r="I520" s="136"/>
      <c r="J520" s="136"/>
      <c r="K520" s="136"/>
      <c r="L520" s="136"/>
      <c r="M520" s="136"/>
      <c r="N520" s="136" t="e">
        <f t="shared" si="22"/>
        <v>#N/A</v>
      </c>
      <c r="O520" s="136" t="e">
        <f t="shared" si="23"/>
        <v>#N/A</v>
      </c>
    </row>
    <row r="521" spans="1:15" ht="22.05" customHeight="1" x14ac:dyDescent="0.3">
      <c r="A521" s="136">
        <v>477</v>
      </c>
      <c r="B521" s="165" t="str">
        <f>IF($A521&gt;MIN($A$10,$A$2),"",INDEX(DemoHistory[Date],$A521))</f>
        <v/>
      </c>
      <c r="C521" s="166" t="str">
        <f>IF(OR($A521&gt;MIN($A$10,$A$2),$A$5=""),"",INDEX(DemoHistory[],$A521,MATCH($A$5,DemoHistory[#Headers],0)))</f>
        <v/>
      </c>
      <c r="D521" s="166" t="str">
        <f>IF($A521&gt;MIN($A$10,$A$2),"",IF(AND($A$12,$A$6=1,B521&lt;$A$7,$A$7&lt;=MAX(DemoHistory[Date])),$A$8,1))</f>
        <v/>
      </c>
      <c r="E521" s="166" t="str">
        <f t="shared" si="21"/>
        <v/>
      </c>
      <c r="F521" s="166" t="str">
        <f>IF($A521&gt;MIN($A$10,$A$2),"",IF($A521&lt;50,"n.a.",IF(COUNT(INDEX(StockDaily[Adjusted close],MAX(1,$A521-50+1)):E521)=50,AVERAGE(INDEX(StockDaily[Adjusted close],MAX(1,$A521-50+1)):E521),"n.a.")))</f>
        <v/>
      </c>
      <c r="G521" s="166" t="str">
        <f>IF($A521&gt;MIN($A$10,$A$2),"",IF($A521&lt;200,"n.a.",IF(COUNT(INDEX(StockDaily[Adjusted close],MAX(1,$A521-200+1)):E521)=200,AVERAGE(INDEX(StockDaily[Adjusted close],MAX(1,$A521-200+1)):E521),"n.a.")))</f>
        <v/>
      </c>
      <c r="H521" s="136" t="str">
        <f>IF($A521&gt;MIN($A$10,$A$2),"",IF($A$5="","Choose stock",IF(NOT($A$12),"Check split rule",IF(NOT(ISNUMBER(B521)),"Invalid date",IF(OR(B521&lt;=0,B521&lt;&gt;INT(B521)),"Invalid date",IF(COUNTIFS(DemoHistory[Date],B521)&lt;&gt;1,"Duplicate date",IF(AND($A521&gt;1,B521&lt;=B520),"Dates out of order",IF(NOT(ISNUMBER(C521)),"Missing price",IF(C521&lt;=0,"Nonpositive price","OK")))))))))</f>
        <v/>
      </c>
      <c r="I521" s="136"/>
      <c r="J521" s="136"/>
      <c r="K521" s="136"/>
      <c r="L521" s="136"/>
      <c r="M521" s="136"/>
      <c r="N521" s="136" t="e">
        <f t="shared" si="22"/>
        <v>#N/A</v>
      </c>
      <c r="O521" s="136" t="e">
        <f t="shared" si="23"/>
        <v>#N/A</v>
      </c>
    </row>
    <row r="522" spans="1:15" ht="22.05" customHeight="1" x14ac:dyDescent="0.3">
      <c r="A522" s="136">
        <v>478</v>
      </c>
      <c r="B522" s="165" t="str">
        <f>IF($A522&gt;MIN($A$10,$A$2),"",INDEX(DemoHistory[Date],$A522))</f>
        <v/>
      </c>
      <c r="C522" s="166" t="str">
        <f>IF(OR($A522&gt;MIN($A$10,$A$2),$A$5=""),"",INDEX(DemoHistory[],$A522,MATCH($A$5,DemoHistory[#Headers],0)))</f>
        <v/>
      </c>
      <c r="D522" s="166" t="str">
        <f>IF($A522&gt;MIN($A$10,$A$2),"",IF(AND($A$12,$A$6=1,B522&lt;$A$7,$A$7&lt;=MAX(DemoHistory[Date])),$A$8,1))</f>
        <v/>
      </c>
      <c r="E522" s="166" t="str">
        <f t="shared" si="21"/>
        <v/>
      </c>
      <c r="F522" s="166" t="str">
        <f>IF($A522&gt;MIN($A$10,$A$2),"",IF($A522&lt;50,"n.a.",IF(COUNT(INDEX(StockDaily[Adjusted close],MAX(1,$A522-50+1)):E522)=50,AVERAGE(INDEX(StockDaily[Adjusted close],MAX(1,$A522-50+1)):E522),"n.a.")))</f>
        <v/>
      </c>
      <c r="G522" s="166" t="str">
        <f>IF($A522&gt;MIN($A$10,$A$2),"",IF($A522&lt;200,"n.a.",IF(COUNT(INDEX(StockDaily[Adjusted close],MAX(1,$A522-200+1)):E522)=200,AVERAGE(INDEX(StockDaily[Adjusted close],MAX(1,$A522-200+1)):E522),"n.a.")))</f>
        <v/>
      </c>
      <c r="H522" s="136" t="str">
        <f>IF($A522&gt;MIN($A$10,$A$2),"",IF($A$5="","Choose stock",IF(NOT($A$12),"Check split rule",IF(NOT(ISNUMBER(B522)),"Invalid date",IF(OR(B522&lt;=0,B522&lt;&gt;INT(B522)),"Invalid date",IF(COUNTIFS(DemoHistory[Date],B522)&lt;&gt;1,"Duplicate date",IF(AND($A522&gt;1,B522&lt;=B521),"Dates out of order",IF(NOT(ISNUMBER(C522)),"Missing price",IF(C522&lt;=0,"Nonpositive price","OK")))))))))</f>
        <v/>
      </c>
      <c r="I522" s="136"/>
      <c r="J522" s="136"/>
      <c r="K522" s="136"/>
      <c r="L522" s="136"/>
      <c r="M522" s="136"/>
      <c r="N522" s="136" t="e">
        <f t="shared" si="22"/>
        <v>#N/A</v>
      </c>
      <c r="O522" s="136" t="e">
        <f t="shared" si="23"/>
        <v>#N/A</v>
      </c>
    </row>
    <row r="523" spans="1:15" ht="22.05" customHeight="1" x14ac:dyDescent="0.3">
      <c r="A523" s="136">
        <v>479</v>
      </c>
      <c r="B523" s="165" t="str">
        <f>IF($A523&gt;MIN($A$10,$A$2),"",INDEX(DemoHistory[Date],$A523))</f>
        <v/>
      </c>
      <c r="C523" s="166" t="str">
        <f>IF(OR($A523&gt;MIN($A$10,$A$2),$A$5=""),"",INDEX(DemoHistory[],$A523,MATCH($A$5,DemoHistory[#Headers],0)))</f>
        <v/>
      </c>
      <c r="D523" s="166" t="str">
        <f>IF($A523&gt;MIN($A$10,$A$2),"",IF(AND($A$12,$A$6=1,B523&lt;$A$7,$A$7&lt;=MAX(DemoHistory[Date])),$A$8,1))</f>
        <v/>
      </c>
      <c r="E523" s="166" t="str">
        <f t="shared" si="21"/>
        <v/>
      </c>
      <c r="F523" s="166" t="str">
        <f>IF($A523&gt;MIN($A$10,$A$2),"",IF($A523&lt;50,"n.a.",IF(COUNT(INDEX(StockDaily[Adjusted close],MAX(1,$A523-50+1)):E523)=50,AVERAGE(INDEX(StockDaily[Adjusted close],MAX(1,$A523-50+1)):E523),"n.a.")))</f>
        <v/>
      </c>
      <c r="G523" s="166" t="str">
        <f>IF($A523&gt;MIN($A$10,$A$2),"",IF($A523&lt;200,"n.a.",IF(COUNT(INDEX(StockDaily[Adjusted close],MAX(1,$A523-200+1)):E523)=200,AVERAGE(INDEX(StockDaily[Adjusted close],MAX(1,$A523-200+1)):E523),"n.a.")))</f>
        <v/>
      </c>
      <c r="H523" s="136" t="str">
        <f>IF($A523&gt;MIN($A$10,$A$2),"",IF($A$5="","Choose stock",IF(NOT($A$12),"Check split rule",IF(NOT(ISNUMBER(B523)),"Invalid date",IF(OR(B523&lt;=0,B523&lt;&gt;INT(B523)),"Invalid date",IF(COUNTIFS(DemoHistory[Date],B523)&lt;&gt;1,"Duplicate date",IF(AND($A523&gt;1,B523&lt;=B522),"Dates out of order",IF(NOT(ISNUMBER(C523)),"Missing price",IF(C523&lt;=0,"Nonpositive price","OK")))))))))</f>
        <v/>
      </c>
      <c r="I523" s="136"/>
      <c r="J523" s="136"/>
      <c r="K523" s="136"/>
      <c r="L523" s="136"/>
      <c r="M523" s="136"/>
      <c r="N523" s="136" t="e">
        <f t="shared" si="22"/>
        <v>#N/A</v>
      </c>
      <c r="O523" s="136" t="e">
        <f t="shared" si="23"/>
        <v>#N/A</v>
      </c>
    </row>
    <row r="524" spans="1:15" ht="22.05" customHeight="1" x14ac:dyDescent="0.3">
      <c r="A524" s="136">
        <v>480</v>
      </c>
      <c r="B524" s="165" t="str">
        <f>IF($A524&gt;MIN($A$10,$A$2),"",INDEX(DemoHistory[Date],$A524))</f>
        <v/>
      </c>
      <c r="C524" s="166" t="str">
        <f>IF(OR($A524&gt;MIN($A$10,$A$2),$A$5=""),"",INDEX(DemoHistory[],$A524,MATCH($A$5,DemoHistory[#Headers],0)))</f>
        <v/>
      </c>
      <c r="D524" s="166" t="str">
        <f>IF($A524&gt;MIN($A$10,$A$2),"",IF(AND($A$12,$A$6=1,B524&lt;$A$7,$A$7&lt;=MAX(DemoHistory[Date])),$A$8,1))</f>
        <v/>
      </c>
      <c r="E524" s="166" t="str">
        <f t="shared" si="21"/>
        <v/>
      </c>
      <c r="F524" s="166" t="str">
        <f>IF($A524&gt;MIN($A$10,$A$2),"",IF($A524&lt;50,"n.a.",IF(COUNT(INDEX(StockDaily[Adjusted close],MAX(1,$A524-50+1)):E524)=50,AVERAGE(INDEX(StockDaily[Adjusted close],MAX(1,$A524-50+1)):E524),"n.a.")))</f>
        <v/>
      </c>
      <c r="G524" s="166" t="str">
        <f>IF($A524&gt;MIN($A$10,$A$2),"",IF($A524&lt;200,"n.a.",IF(COUNT(INDEX(StockDaily[Adjusted close],MAX(1,$A524-200+1)):E524)=200,AVERAGE(INDEX(StockDaily[Adjusted close],MAX(1,$A524-200+1)):E524),"n.a.")))</f>
        <v/>
      </c>
      <c r="H524" s="136" t="str">
        <f>IF($A524&gt;MIN($A$10,$A$2),"",IF($A$5="","Choose stock",IF(NOT($A$12),"Check split rule",IF(NOT(ISNUMBER(B524)),"Invalid date",IF(OR(B524&lt;=0,B524&lt;&gt;INT(B524)),"Invalid date",IF(COUNTIFS(DemoHistory[Date],B524)&lt;&gt;1,"Duplicate date",IF(AND($A524&gt;1,B524&lt;=B523),"Dates out of order",IF(NOT(ISNUMBER(C524)),"Missing price",IF(C524&lt;=0,"Nonpositive price","OK")))))))))</f>
        <v/>
      </c>
      <c r="I524" s="136"/>
      <c r="J524" s="136"/>
      <c r="K524" s="136"/>
      <c r="L524" s="136"/>
      <c r="M524" s="136"/>
      <c r="N524" s="136" t="e">
        <f t="shared" si="22"/>
        <v>#N/A</v>
      </c>
      <c r="O524" s="136" t="e">
        <f t="shared" si="23"/>
        <v>#N/A</v>
      </c>
    </row>
    <row r="525" spans="1:15" ht="22.05" customHeight="1" x14ac:dyDescent="0.3">
      <c r="A525" s="136">
        <v>481</v>
      </c>
      <c r="B525" s="165" t="str">
        <f>IF($A525&gt;MIN($A$10,$A$2),"",INDEX(DemoHistory[Date],$A525))</f>
        <v/>
      </c>
      <c r="C525" s="166" t="str">
        <f>IF(OR($A525&gt;MIN($A$10,$A$2),$A$5=""),"",INDEX(DemoHistory[],$A525,MATCH($A$5,DemoHistory[#Headers],0)))</f>
        <v/>
      </c>
      <c r="D525" s="166" t="str">
        <f>IF($A525&gt;MIN($A$10,$A$2),"",IF(AND($A$12,$A$6=1,B525&lt;$A$7,$A$7&lt;=MAX(DemoHistory[Date])),$A$8,1))</f>
        <v/>
      </c>
      <c r="E525" s="166" t="str">
        <f t="shared" si="21"/>
        <v/>
      </c>
      <c r="F525" s="166" t="str">
        <f>IF($A525&gt;MIN($A$10,$A$2),"",IF($A525&lt;50,"n.a.",IF(COUNT(INDEX(StockDaily[Adjusted close],MAX(1,$A525-50+1)):E525)=50,AVERAGE(INDEX(StockDaily[Adjusted close],MAX(1,$A525-50+1)):E525),"n.a.")))</f>
        <v/>
      </c>
      <c r="G525" s="166" t="str">
        <f>IF($A525&gt;MIN($A$10,$A$2),"",IF($A525&lt;200,"n.a.",IF(COUNT(INDEX(StockDaily[Adjusted close],MAX(1,$A525-200+1)):E525)=200,AVERAGE(INDEX(StockDaily[Adjusted close],MAX(1,$A525-200+1)):E525),"n.a.")))</f>
        <v/>
      </c>
      <c r="H525" s="136" t="str">
        <f>IF($A525&gt;MIN($A$10,$A$2),"",IF($A$5="","Choose stock",IF(NOT($A$12),"Check split rule",IF(NOT(ISNUMBER(B525)),"Invalid date",IF(OR(B525&lt;=0,B525&lt;&gt;INT(B525)),"Invalid date",IF(COUNTIFS(DemoHistory[Date],B525)&lt;&gt;1,"Duplicate date",IF(AND($A525&gt;1,B525&lt;=B524),"Dates out of order",IF(NOT(ISNUMBER(C525)),"Missing price",IF(C525&lt;=0,"Nonpositive price","OK")))))))))</f>
        <v/>
      </c>
      <c r="I525" s="136"/>
      <c r="J525" s="136"/>
      <c r="K525" s="136"/>
      <c r="L525" s="136"/>
      <c r="M525" s="136"/>
      <c r="N525" s="136" t="e">
        <f t="shared" si="22"/>
        <v>#N/A</v>
      </c>
      <c r="O525" s="136" t="e">
        <f t="shared" si="23"/>
        <v>#N/A</v>
      </c>
    </row>
    <row r="526" spans="1:15" ht="22.05" customHeight="1" x14ac:dyDescent="0.3">
      <c r="A526" s="136">
        <v>482</v>
      </c>
      <c r="B526" s="165" t="str">
        <f>IF($A526&gt;MIN($A$10,$A$2),"",INDEX(DemoHistory[Date],$A526))</f>
        <v/>
      </c>
      <c r="C526" s="166" t="str">
        <f>IF(OR($A526&gt;MIN($A$10,$A$2),$A$5=""),"",INDEX(DemoHistory[],$A526,MATCH($A$5,DemoHistory[#Headers],0)))</f>
        <v/>
      </c>
      <c r="D526" s="166" t="str">
        <f>IF($A526&gt;MIN($A$10,$A$2),"",IF(AND($A$12,$A$6=1,B526&lt;$A$7,$A$7&lt;=MAX(DemoHistory[Date])),$A$8,1))</f>
        <v/>
      </c>
      <c r="E526" s="166" t="str">
        <f t="shared" si="21"/>
        <v/>
      </c>
      <c r="F526" s="166" t="str">
        <f>IF($A526&gt;MIN($A$10,$A$2),"",IF($A526&lt;50,"n.a.",IF(COUNT(INDEX(StockDaily[Adjusted close],MAX(1,$A526-50+1)):E526)=50,AVERAGE(INDEX(StockDaily[Adjusted close],MAX(1,$A526-50+1)):E526),"n.a.")))</f>
        <v/>
      </c>
      <c r="G526" s="166" t="str">
        <f>IF($A526&gt;MIN($A$10,$A$2),"",IF($A526&lt;200,"n.a.",IF(COUNT(INDEX(StockDaily[Adjusted close],MAX(1,$A526-200+1)):E526)=200,AVERAGE(INDEX(StockDaily[Adjusted close],MAX(1,$A526-200+1)):E526),"n.a.")))</f>
        <v/>
      </c>
      <c r="H526" s="136" t="str">
        <f>IF($A526&gt;MIN($A$10,$A$2),"",IF($A$5="","Choose stock",IF(NOT($A$12),"Check split rule",IF(NOT(ISNUMBER(B526)),"Invalid date",IF(OR(B526&lt;=0,B526&lt;&gt;INT(B526)),"Invalid date",IF(COUNTIFS(DemoHistory[Date],B526)&lt;&gt;1,"Duplicate date",IF(AND($A526&gt;1,B526&lt;=B525),"Dates out of order",IF(NOT(ISNUMBER(C526)),"Missing price",IF(C526&lt;=0,"Nonpositive price","OK")))))))))</f>
        <v/>
      </c>
      <c r="I526" s="136"/>
      <c r="J526" s="136"/>
      <c r="K526" s="136"/>
      <c r="L526" s="136"/>
      <c r="M526" s="136"/>
      <c r="N526" s="136" t="e">
        <f t="shared" si="22"/>
        <v>#N/A</v>
      </c>
      <c r="O526" s="136" t="e">
        <f t="shared" si="23"/>
        <v>#N/A</v>
      </c>
    </row>
    <row r="527" spans="1:15" ht="22.05" customHeight="1" x14ac:dyDescent="0.3">
      <c r="A527" s="136">
        <v>483</v>
      </c>
      <c r="B527" s="165" t="str">
        <f>IF($A527&gt;MIN($A$10,$A$2),"",INDEX(DemoHistory[Date],$A527))</f>
        <v/>
      </c>
      <c r="C527" s="166" t="str">
        <f>IF(OR($A527&gt;MIN($A$10,$A$2),$A$5=""),"",INDEX(DemoHistory[],$A527,MATCH($A$5,DemoHistory[#Headers],0)))</f>
        <v/>
      </c>
      <c r="D527" s="166" t="str">
        <f>IF($A527&gt;MIN($A$10,$A$2),"",IF(AND($A$12,$A$6=1,B527&lt;$A$7,$A$7&lt;=MAX(DemoHistory[Date])),$A$8,1))</f>
        <v/>
      </c>
      <c r="E527" s="166" t="str">
        <f t="shared" si="21"/>
        <v/>
      </c>
      <c r="F527" s="166" t="str">
        <f>IF($A527&gt;MIN($A$10,$A$2),"",IF($A527&lt;50,"n.a.",IF(COUNT(INDEX(StockDaily[Adjusted close],MAX(1,$A527-50+1)):E527)=50,AVERAGE(INDEX(StockDaily[Adjusted close],MAX(1,$A527-50+1)):E527),"n.a.")))</f>
        <v/>
      </c>
      <c r="G527" s="166" t="str">
        <f>IF($A527&gt;MIN($A$10,$A$2),"",IF($A527&lt;200,"n.a.",IF(COUNT(INDEX(StockDaily[Adjusted close],MAX(1,$A527-200+1)):E527)=200,AVERAGE(INDEX(StockDaily[Adjusted close],MAX(1,$A527-200+1)):E527),"n.a.")))</f>
        <v/>
      </c>
      <c r="H527" s="136" t="str">
        <f>IF($A527&gt;MIN($A$10,$A$2),"",IF($A$5="","Choose stock",IF(NOT($A$12),"Check split rule",IF(NOT(ISNUMBER(B527)),"Invalid date",IF(OR(B527&lt;=0,B527&lt;&gt;INT(B527)),"Invalid date",IF(COUNTIFS(DemoHistory[Date],B527)&lt;&gt;1,"Duplicate date",IF(AND($A527&gt;1,B527&lt;=B526),"Dates out of order",IF(NOT(ISNUMBER(C527)),"Missing price",IF(C527&lt;=0,"Nonpositive price","OK")))))))))</f>
        <v/>
      </c>
      <c r="I527" s="136"/>
      <c r="J527" s="136"/>
      <c r="K527" s="136"/>
      <c r="L527" s="136"/>
      <c r="M527" s="136"/>
      <c r="N527" s="136" t="e">
        <f t="shared" si="22"/>
        <v>#N/A</v>
      </c>
      <c r="O527" s="136" t="e">
        <f t="shared" si="23"/>
        <v>#N/A</v>
      </c>
    </row>
    <row r="528" spans="1:15" ht="22.05" customHeight="1" x14ac:dyDescent="0.3">
      <c r="A528" s="136">
        <v>484</v>
      </c>
      <c r="B528" s="165" t="str">
        <f>IF($A528&gt;MIN($A$10,$A$2),"",INDEX(DemoHistory[Date],$A528))</f>
        <v/>
      </c>
      <c r="C528" s="166" t="str">
        <f>IF(OR($A528&gt;MIN($A$10,$A$2),$A$5=""),"",INDEX(DemoHistory[],$A528,MATCH($A$5,DemoHistory[#Headers],0)))</f>
        <v/>
      </c>
      <c r="D528" s="166" t="str">
        <f>IF($A528&gt;MIN($A$10,$A$2),"",IF(AND($A$12,$A$6=1,B528&lt;$A$7,$A$7&lt;=MAX(DemoHistory[Date])),$A$8,1))</f>
        <v/>
      </c>
      <c r="E528" s="166" t="str">
        <f t="shared" si="21"/>
        <v/>
      </c>
      <c r="F528" s="166" t="str">
        <f>IF($A528&gt;MIN($A$10,$A$2),"",IF($A528&lt;50,"n.a.",IF(COUNT(INDEX(StockDaily[Adjusted close],MAX(1,$A528-50+1)):E528)=50,AVERAGE(INDEX(StockDaily[Adjusted close],MAX(1,$A528-50+1)):E528),"n.a.")))</f>
        <v/>
      </c>
      <c r="G528" s="166" t="str">
        <f>IF($A528&gt;MIN($A$10,$A$2),"",IF($A528&lt;200,"n.a.",IF(COUNT(INDEX(StockDaily[Adjusted close],MAX(1,$A528-200+1)):E528)=200,AVERAGE(INDEX(StockDaily[Adjusted close],MAX(1,$A528-200+1)):E528),"n.a.")))</f>
        <v/>
      </c>
      <c r="H528" s="136" t="str">
        <f>IF($A528&gt;MIN($A$10,$A$2),"",IF($A$5="","Choose stock",IF(NOT($A$12),"Check split rule",IF(NOT(ISNUMBER(B528)),"Invalid date",IF(OR(B528&lt;=0,B528&lt;&gt;INT(B528)),"Invalid date",IF(COUNTIFS(DemoHistory[Date],B528)&lt;&gt;1,"Duplicate date",IF(AND($A528&gt;1,B528&lt;=B527),"Dates out of order",IF(NOT(ISNUMBER(C528)),"Missing price",IF(C528&lt;=0,"Nonpositive price","OK")))))))))</f>
        <v/>
      </c>
      <c r="I528" s="136"/>
      <c r="J528" s="136"/>
      <c r="K528" s="136"/>
      <c r="L528" s="136"/>
      <c r="M528" s="136"/>
      <c r="N528" s="136" t="e">
        <f t="shared" si="22"/>
        <v>#N/A</v>
      </c>
      <c r="O528" s="136" t="e">
        <f t="shared" si="23"/>
        <v>#N/A</v>
      </c>
    </row>
    <row r="529" spans="1:15" ht="22.05" customHeight="1" x14ac:dyDescent="0.3">
      <c r="A529" s="136">
        <v>485</v>
      </c>
      <c r="B529" s="165" t="str">
        <f>IF($A529&gt;MIN($A$10,$A$2),"",INDEX(DemoHistory[Date],$A529))</f>
        <v/>
      </c>
      <c r="C529" s="166" t="str">
        <f>IF(OR($A529&gt;MIN($A$10,$A$2),$A$5=""),"",INDEX(DemoHistory[],$A529,MATCH($A$5,DemoHistory[#Headers],0)))</f>
        <v/>
      </c>
      <c r="D529" s="166" t="str">
        <f>IF($A529&gt;MIN($A$10,$A$2),"",IF(AND($A$12,$A$6=1,B529&lt;$A$7,$A$7&lt;=MAX(DemoHistory[Date])),$A$8,1))</f>
        <v/>
      </c>
      <c r="E529" s="166" t="str">
        <f t="shared" si="21"/>
        <v/>
      </c>
      <c r="F529" s="166" t="str">
        <f>IF($A529&gt;MIN($A$10,$A$2),"",IF($A529&lt;50,"n.a.",IF(COUNT(INDEX(StockDaily[Adjusted close],MAX(1,$A529-50+1)):E529)=50,AVERAGE(INDEX(StockDaily[Adjusted close],MAX(1,$A529-50+1)):E529),"n.a.")))</f>
        <v/>
      </c>
      <c r="G529" s="166" t="str">
        <f>IF($A529&gt;MIN($A$10,$A$2),"",IF($A529&lt;200,"n.a.",IF(COUNT(INDEX(StockDaily[Adjusted close],MAX(1,$A529-200+1)):E529)=200,AVERAGE(INDEX(StockDaily[Adjusted close],MAX(1,$A529-200+1)):E529),"n.a.")))</f>
        <v/>
      </c>
      <c r="H529" s="136" t="str">
        <f>IF($A529&gt;MIN($A$10,$A$2),"",IF($A$5="","Choose stock",IF(NOT($A$12),"Check split rule",IF(NOT(ISNUMBER(B529)),"Invalid date",IF(OR(B529&lt;=0,B529&lt;&gt;INT(B529)),"Invalid date",IF(COUNTIFS(DemoHistory[Date],B529)&lt;&gt;1,"Duplicate date",IF(AND($A529&gt;1,B529&lt;=B528),"Dates out of order",IF(NOT(ISNUMBER(C529)),"Missing price",IF(C529&lt;=0,"Nonpositive price","OK")))))))))</f>
        <v/>
      </c>
      <c r="I529" s="136"/>
      <c r="J529" s="136"/>
      <c r="K529" s="136"/>
      <c r="L529" s="136"/>
      <c r="M529" s="136"/>
      <c r="N529" s="136" t="e">
        <f t="shared" si="22"/>
        <v>#N/A</v>
      </c>
      <c r="O529" s="136" t="e">
        <f t="shared" si="23"/>
        <v>#N/A</v>
      </c>
    </row>
    <row r="530" spans="1:15" ht="22.05" customHeight="1" x14ac:dyDescent="0.3">
      <c r="A530" s="136">
        <v>486</v>
      </c>
      <c r="B530" s="165" t="str">
        <f>IF($A530&gt;MIN($A$10,$A$2),"",INDEX(DemoHistory[Date],$A530))</f>
        <v/>
      </c>
      <c r="C530" s="166" t="str">
        <f>IF(OR($A530&gt;MIN($A$10,$A$2),$A$5=""),"",INDEX(DemoHistory[],$A530,MATCH($A$5,DemoHistory[#Headers],0)))</f>
        <v/>
      </c>
      <c r="D530" s="166" t="str">
        <f>IF($A530&gt;MIN($A$10,$A$2),"",IF(AND($A$12,$A$6=1,B530&lt;$A$7,$A$7&lt;=MAX(DemoHistory[Date])),$A$8,1))</f>
        <v/>
      </c>
      <c r="E530" s="166" t="str">
        <f t="shared" si="21"/>
        <v/>
      </c>
      <c r="F530" s="166" t="str">
        <f>IF($A530&gt;MIN($A$10,$A$2),"",IF($A530&lt;50,"n.a.",IF(COUNT(INDEX(StockDaily[Adjusted close],MAX(1,$A530-50+1)):E530)=50,AVERAGE(INDEX(StockDaily[Adjusted close],MAX(1,$A530-50+1)):E530),"n.a.")))</f>
        <v/>
      </c>
      <c r="G530" s="166" t="str">
        <f>IF($A530&gt;MIN($A$10,$A$2),"",IF($A530&lt;200,"n.a.",IF(COUNT(INDEX(StockDaily[Adjusted close],MAX(1,$A530-200+1)):E530)=200,AVERAGE(INDEX(StockDaily[Adjusted close],MAX(1,$A530-200+1)):E530),"n.a.")))</f>
        <v/>
      </c>
      <c r="H530" s="136" t="str">
        <f>IF($A530&gt;MIN($A$10,$A$2),"",IF($A$5="","Choose stock",IF(NOT($A$12),"Check split rule",IF(NOT(ISNUMBER(B530)),"Invalid date",IF(OR(B530&lt;=0,B530&lt;&gt;INT(B530)),"Invalid date",IF(COUNTIFS(DemoHistory[Date],B530)&lt;&gt;1,"Duplicate date",IF(AND($A530&gt;1,B530&lt;=B529),"Dates out of order",IF(NOT(ISNUMBER(C530)),"Missing price",IF(C530&lt;=0,"Nonpositive price","OK")))))))))</f>
        <v/>
      </c>
      <c r="I530" s="136"/>
      <c r="J530" s="136"/>
      <c r="K530" s="136"/>
      <c r="L530" s="136"/>
      <c r="M530" s="136"/>
      <c r="N530" s="136" t="e">
        <f t="shared" si="22"/>
        <v>#N/A</v>
      </c>
      <c r="O530" s="136" t="e">
        <f t="shared" si="23"/>
        <v>#N/A</v>
      </c>
    </row>
    <row r="531" spans="1:15" ht="22.05" customHeight="1" x14ac:dyDescent="0.3">
      <c r="A531" s="136">
        <v>487</v>
      </c>
      <c r="B531" s="165" t="str">
        <f>IF($A531&gt;MIN($A$10,$A$2),"",INDEX(DemoHistory[Date],$A531))</f>
        <v/>
      </c>
      <c r="C531" s="166" t="str">
        <f>IF(OR($A531&gt;MIN($A$10,$A$2),$A$5=""),"",INDEX(DemoHistory[],$A531,MATCH($A$5,DemoHistory[#Headers],0)))</f>
        <v/>
      </c>
      <c r="D531" s="166" t="str">
        <f>IF($A531&gt;MIN($A$10,$A$2),"",IF(AND($A$12,$A$6=1,B531&lt;$A$7,$A$7&lt;=MAX(DemoHistory[Date])),$A$8,1))</f>
        <v/>
      </c>
      <c r="E531" s="166" t="str">
        <f t="shared" si="21"/>
        <v/>
      </c>
      <c r="F531" s="166" t="str">
        <f>IF($A531&gt;MIN($A$10,$A$2),"",IF($A531&lt;50,"n.a.",IF(COUNT(INDEX(StockDaily[Adjusted close],MAX(1,$A531-50+1)):E531)=50,AVERAGE(INDEX(StockDaily[Adjusted close],MAX(1,$A531-50+1)):E531),"n.a.")))</f>
        <v/>
      </c>
      <c r="G531" s="166" t="str">
        <f>IF($A531&gt;MIN($A$10,$A$2),"",IF($A531&lt;200,"n.a.",IF(COUNT(INDEX(StockDaily[Adjusted close],MAX(1,$A531-200+1)):E531)=200,AVERAGE(INDEX(StockDaily[Adjusted close],MAX(1,$A531-200+1)):E531),"n.a.")))</f>
        <v/>
      </c>
      <c r="H531" s="136" t="str">
        <f>IF($A531&gt;MIN($A$10,$A$2),"",IF($A$5="","Choose stock",IF(NOT($A$12),"Check split rule",IF(NOT(ISNUMBER(B531)),"Invalid date",IF(OR(B531&lt;=0,B531&lt;&gt;INT(B531)),"Invalid date",IF(COUNTIFS(DemoHistory[Date],B531)&lt;&gt;1,"Duplicate date",IF(AND($A531&gt;1,B531&lt;=B530),"Dates out of order",IF(NOT(ISNUMBER(C531)),"Missing price",IF(C531&lt;=0,"Nonpositive price","OK")))))))))</f>
        <v/>
      </c>
      <c r="I531" s="136"/>
      <c r="J531" s="136"/>
      <c r="K531" s="136"/>
      <c r="L531" s="136"/>
      <c r="M531" s="136"/>
      <c r="N531" s="136" t="e">
        <f t="shared" si="22"/>
        <v>#N/A</v>
      </c>
      <c r="O531" s="136" t="e">
        <f t="shared" si="23"/>
        <v>#N/A</v>
      </c>
    </row>
    <row r="532" spans="1:15" ht="22.05" customHeight="1" x14ac:dyDescent="0.3">
      <c r="A532" s="136">
        <v>488</v>
      </c>
      <c r="B532" s="165" t="str">
        <f>IF($A532&gt;MIN($A$10,$A$2),"",INDEX(DemoHistory[Date],$A532))</f>
        <v/>
      </c>
      <c r="C532" s="166" t="str">
        <f>IF(OR($A532&gt;MIN($A$10,$A$2),$A$5=""),"",INDEX(DemoHistory[],$A532,MATCH($A$5,DemoHistory[#Headers],0)))</f>
        <v/>
      </c>
      <c r="D532" s="166" t="str">
        <f>IF($A532&gt;MIN($A$10,$A$2),"",IF(AND($A$12,$A$6=1,B532&lt;$A$7,$A$7&lt;=MAX(DemoHistory[Date])),$A$8,1))</f>
        <v/>
      </c>
      <c r="E532" s="166" t="str">
        <f t="shared" si="21"/>
        <v/>
      </c>
      <c r="F532" s="166" t="str">
        <f>IF($A532&gt;MIN($A$10,$A$2),"",IF($A532&lt;50,"n.a.",IF(COUNT(INDEX(StockDaily[Adjusted close],MAX(1,$A532-50+1)):E532)=50,AVERAGE(INDEX(StockDaily[Adjusted close],MAX(1,$A532-50+1)):E532),"n.a.")))</f>
        <v/>
      </c>
      <c r="G532" s="166" t="str">
        <f>IF($A532&gt;MIN($A$10,$A$2),"",IF($A532&lt;200,"n.a.",IF(COUNT(INDEX(StockDaily[Adjusted close],MAX(1,$A532-200+1)):E532)=200,AVERAGE(INDEX(StockDaily[Adjusted close],MAX(1,$A532-200+1)):E532),"n.a.")))</f>
        <v/>
      </c>
      <c r="H532" s="136" t="str">
        <f>IF($A532&gt;MIN($A$10,$A$2),"",IF($A$5="","Choose stock",IF(NOT($A$12),"Check split rule",IF(NOT(ISNUMBER(B532)),"Invalid date",IF(OR(B532&lt;=0,B532&lt;&gt;INT(B532)),"Invalid date",IF(COUNTIFS(DemoHistory[Date],B532)&lt;&gt;1,"Duplicate date",IF(AND($A532&gt;1,B532&lt;=B531),"Dates out of order",IF(NOT(ISNUMBER(C532)),"Missing price",IF(C532&lt;=0,"Nonpositive price","OK")))))))))</f>
        <v/>
      </c>
      <c r="I532" s="136"/>
      <c r="J532" s="136"/>
      <c r="K532" s="136"/>
      <c r="L532" s="136"/>
      <c r="M532" s="136"/>
      <c r="N532" s="136" t="e">
        <f t="shared" si="22"/>
        <v>#N/A</v>
      </c>
      <c r="O532" s="136" t="e">
        <f t="shared" si="23"/>
        <v>#N/A</v>
      </c>
    </row>
    <row r="533" spans="1:15" ht="22.05" customHeight="1" x14ac:dyDescent="0.3">
      <c r="A533" s="136">
        <v>489</v>
      </c>
      <c r="B533" s="165" t="str">
        <f>IF($A533&gt;MIN($A$10,$A$2),"",INDEX(DemoHistory[Date],$A533))</f>
        <v/>
      </c>
      <c r="C533" s="166" t="str">
        <f>IF(OR($A533&gt;MIN($A$10,$A$2),$A$5=""),"",INDEX(DemoHistory[],$A533,MATCH($A$5,DemoHistory[#Headers],0)))</f>
        <v/>
      </c>
      <c r="D533" s="166" t="str">
        <f>IF($A533&gt;MIN($A$10,$A$2),"",IF(AND($A$12,$A$6=1,B533&lt;$A$7,$A$7&lt;=MAX(DemoHistory[Date])),$A$8,1))</f>
        <v/>
      </c>
      <c r="E533" s="166" t="str">
        <f t="shared" si="21"/>
        <v/>
      </c>
      <c r="F533" s="166" t="str">
        <f>IF($A533&gt;MIN($A$10,$A$2),"",IF($A533&lt;50,"n.a.",IF(COUNT(INDEX(StockDaily[Adjusted close],MAX(1,$A533-50+1)):E533)=50,AVERAGE(INDEX(StockDaily[Adjusted close],MAX(1,$A533-50+1)):E533),"n.a.")))</f>
        <v/>
      </c>
      <c r="G533" s="166" t="str">
        <f>IF($A533&gt;MIN($A$10,$A$2),"",IF($A533&lt;200,"n.a.",IF(COUNT(INDEX(StockDaily[Adjusted close],MAX(1,$A533-200+1)):E533)=200,AVERAGE(INDEX(StockDaily[Adjusted close],MAX(1,$A533-200+1)):E533),"n.a.")))</f>
        <v/>
      </c>
      <c r="H533" s="136" t="str">
        <f>IF($A533&gt;MIN($A$10,$A$2),"",IF($A$5="","Choose stock",IF(NOT($A$12),"Check split rule",IF(NOT(ISNUMBER(B533)),"Invalid date",IF(OR(B533&lt;=0,B533&lt;&gt;INT(B533)),"Invalid date",IF(COUNTIFS(DemoHistory[Date],B533)&lt;&gt;1,"Duplicate date",IF(AND($A533&gt;1,B533&lt;=B532),"Dates out of order",IF(NOT(ISNUMBER(C533)),"Missing price",IF(C533&lt;=0,"Nonpositive price","OK")))))))))</f>
        <v/>
      </c>
      <c r="I533" s="136"/>
      <c r="J533" s="136"/>
      <c r="K533" s="136"/>
      <c r="L533" s="136"/>
      <c r="M533" s="136"/>
      <c r="N533" s="136" t="e">
        <f t="shared" si="22"/>
        <v>#N/A</v>
      </c>
      <c r="O533" s="136" t="e">
        <f t="shared" si="23"/>
        <v>#N/A</v>
      </c>
    </row>
    <row r="534" spans="1:15" ht="22.05" customHeight="1" x14ac:dyDescent="0.3">
      <c r="A534" s="136">
        <v>490</v>
      </c>
      <c r="B534" s="165" t="str">
        <f>IF($A534&gt;MIN($A$10,$A$2),"",INDEX(DemoHistory[Date],$A534))</f>
        <v/>
      </c>
      <c r="C534" s="166" t="str">
        <f>IF(OR($A534&gt;MIN($A$10,$A$2),$A$5=""),"",INDEX(DemoHistory[],$A534,MATCH($A$5,DemoHistory[#Headers],0)))</f>
        <v/>
      </c>
      <c r="D534" s="166" t="str">
        <f>IF($A534&gt;MIN($A$10,$A$2),"",IF(AND($A$12,$A$6=1,B534&lt;$A$7,$A$7&lt;=MAX(DemoHistory[Date])),$A$8,1))</f>
        <v/>
      </c>
      <c r="E534" s="166" t="str">
        <f t="shared" si="21"/>
        <v/>
      </c>
      <c r="F534" s="166" t="str">
        <f>IF($A534&gt;MIN($A$10,$A$2),"",IF($A534&lt;50,"n.a.",IF(COUNT(INDEX(StockDaily[Adjusted close],MAX(1,$A534-50+1)):E534)=50,AVERAGE(INDEX(StockDaily[Adjusted close],MAX(1,$A534-50+1)):E534),"n.a.")))</f>
        <v/>
      </c>
      <c r="G534" s="166" t="str">
        <f>IF($A534&gt;MIN($A$10,$A$2),"",IF($A534&lt;200,"n.a.",IF(COUNT(INDEX(StockDaily[Adjusted close],MAX(1,$A534-200+1)):E534)=200,AVERAGE(INDEX(StockDaily[Adjusted close],MAX(1,$A534-200+1)):E534),"n.a.")))</f>
        <v/>
      </c>
      <c r="H534" s="136" t="str">
        <f>IF($A534&gt;MIN($A$10,$A$2),"",IF($A$5="","Choose stock",IF(NOT($A$12),"Check split rule",IF(NOT(ISNUMBER(B534)),"Invalid date",IF(OR(B534&lt;=0,B534&lt;&gt;INT(B534)),"Invalid date",IF(COUNTIFS(DemoHistory[Date],B534)&lt;&gt;1,"Duplicate date",IF(AND($A534&gt;1,B534&lt;=B533),"Dates out of order",IF(NOT(ISNUMBER(C534)),"Missing price",IF(C534&lt;=0,"Nonpositive price","OK")))))))))</f>
        <v/>
      </c>
      <c r="I534" s="136"/>
      <c r="J534" s="136"/>
      <c r="K534" s="136"/>
      <c r="L534" s="136"/>
      <c r="M534" s="136"/>
      <c r="N534" s="136" t="e">
        <f t="shared" si="22"/>
        <v>#N/A</v>
      </c>
      <c r="O534" s="136" t="e">
        <f t="shared" si="23"/>
        <v>#N/A</v>
      </c>
    </row>
    <row r="535" spans="1:15" ht="22.05" customHeight="1" x14ac:dyDescent="0.3">
      <c r="A535" s="136">
        <v>491</v>
      </c>
      <c r="B535" s="165" t="str">
        <f>IF($A535&gt;MIN($A$10,$A$2),"",INDEX(DemoHistory[Date],$A535))</f>
        <v/>
      </c>
      <c r="C535" s="166" t="str">
        <f>IF(OR($A535&gt;MIN($A$10,$A$2),$A$5=""),"",INDEX(DemoHistory[],$A535,MATCH($A$5,DemoHistory[#Headers],0)))</f>
        <v/>
      </c>
      <c r="D535" s="166" t="str">
        <f>IF($A535&gt;MIN($A$10,$A$2),"",IF(AND($A$12,$A$6=1,B535&lt;$A$7,$A$7&lt;=MAX(DemoHistory[Date])),$A$8,1))</f>
        <v/>
      </c>
      <c r="E535" s="166" t="str">
        <f t="shared" si="21"/>
        <v/>
      </c>
      <c r="F535" s="166" t="str">
        <f>IF($A535&gt;MIN($A$10,$A$2),"",IF($A535&lt;50,"n.a.",IF(COUNT(INDEX(StockDaily[Adjusted close],MAX(1,$A535-50+1)):E535)=50,AVERAGE(INDEX(StockDaily[Adjusted close],MAX(1,$A535-50+1)):E535),"n.a.")))</f>
        <v/>
      </c>
      <c r="G535" s="166" t="str">
        <f>IF($A535&gt;MIN($A$10,$A$2),"",IF($A535&lt;200,"n.a.",IF(COUNT(INDEX(StockDaily[Adjusted close],MAX(1,$A535-200+1)):E535)=200,AVERAGE(INDEX(StockDaily[Adjusted close],MAX(1,$A535-200+1)):E535),"n.a.")))</f>
        <v/>
      </c>
      <c r="H535" s="136" t="str">
        <f>IF($A535&gt;MIN($A$10,$A$2),"",IF($A$5="","Choose stock",IF(NOT($A$12),"Check split rule",IF(NOT(ISNUMBER(B535)),"Invalid date",IF(OR(B535&lt;=0,B535&lt;&gt;INT(B535)),"Invalid date",IF(COUNTIFS(DemoHistory[Date],B535)&lt;&gt;1,"Duplicate date",IF(AND($A535&gt;1,B535&lt;=B534),"Dates out of order",IF(NOT(ISNUMBER(C535)),"Missing price",IF(C535&lt;=0,"Nonpositive price","OK")))))))))</f>
        <v/>
      </c>
      <c r="I535" s="136"/>
      <c r="J535" s="136"/>
      <c r="K535" s="136"/>
      <c r="L535" s="136"/>
      <c r="M535" s="136"/>
      <c r="N535" s="136" t="e">
        <f t="shared" si="22"/>
        <v>#N/A</v>
      </c>
      <c r="O535" s="136" t="e">
        <f t="shared" si="23"/>
        <v>#N/A</v>
      </c>
    </row>
    <row r="536" spans="1:15" ht="22.05" customHeight="1" x14ac:dyDescent="0.3">
      <c r="A536" s="136">
        <v>492</v>
      </c>
      <c r="B536" s="165" t="str">
        <f>IF($A536&gt;MIN($A$10,$A$2),"",INDEX(DemoHistory[Date],$A536))</f>
        <v/>
      </c>
      <c r="C536" s="166" t="str">
        <f>IF(OR($A536&gt;MIN($A$10,$A$2),$A$5=""),"",INDEX(DemoHistory[],$A536,MATCH($A$5,DemoHistory[#Headers],0)))</f>
        <v/>
      </c>
      <c r="D536" s="166" t="str">
        <f>IF($A536&gt;MIN($A$10,$A$2),"",IF(AND($A$12,$A$6=1,B536&lt;$A$7,$A$7&lt;=MAX(DemoHistory[Date])),$A$8,1))</f>
        <v/>
      </c>
      <c r="E536" s="166" t="str">
        <f t="shared" si="21"/>
        <v/>
      </c>
      <c r="F536" s="166" t="str">
        <f>IF($A536&gt;MIN($A$10,$A$2),"",IF($A536&lt;50,"n.a.",IF(COUNT(INDEX(StockDaily[Adjusted close],MAX(1,$A536-50+1)):E536)=50,AVERAGE(INDEX(StockDaily[Adjusted close],MAX(1,$A536-50+1)):E536),"n.a.")))</f>
        <v/>
      </c>
      <c r="G536" s="166" t="str">
        <f>IF($A536&gt;MIN($A$10,$A$2),"",IF($A536&lt;200,"n.a.",IF(COUNT(INDEX(StockDaily[Adjusted close],MAX(1,$A536-200+1)):E536)=200,AVERAGE(INDEX(StockDaily[Adjusted close],MAX(1,$A536-200+1)):E536),"n.a.")))</f>
        <v/>
      </c>
      <c r="H536" s="136" t="str">
        <f>IF($A536&gt;MIN($A$10,$A$2),"",IF($A$5="","Choose stock",IF(NOT($A$12),"Check split rule",IF(NOT(ISNUMBER(B536)),"Invalid date",IF(OR(B536&lt;=0,B536&lt;&gt;INT(B536)),"Invalid date",IF(COUNTIFS(DemoHistory[Date],B536)&lt;&gt;1,"Duplicate date",IF(AND($A536&gt;1,B536&lt;=B535),"Dates out of order",IF(NOT(ISNUMBER(C536)),"Missing price",IF(C536&lt;=0,"Nonpositive price","OK")))))))))</f>
        <v/>
      </c>
      <c r="I536" s="136"/>
      <c r="J536" s="136"/>
      <c r="K536" s="136"/>
      <c r="L536" s="136"/>
      <c r="M536" s="136"/>
      <c r="N536" s="136" t="e">
        <f t="shared" si="22"/>
        <v>#N/A</v>
      </c>
      <c r="O536" s="136" t="e">
        <f t="shared" si="23"/>
        <v>#N/A</v>
      </c>
    </row>
    <row r="537" spans="1:15" ht="22.05" customHeight="1" x14ac:dyDescent="0.3">
      <c r="A537" s="136">
        <v>493</v>
      </c>
      <c r="B537" s="165" t="str">
        <f>IF($A537&gt;MIN($A$10,$A$2),"",INDEX(DemoHistory[Date],$A537))</f>
        <v/>
      </c>
      <c r="C537" s="166" t="str">
        <f>IF(OR($A537&gt;MIN($A$10,$A$2),$A$5=""),"",INDEX(DemoHistory[],$A537,MATCH($A$5,DemoHistory[#Headers],0)))</f>
        <v/>
      </c>
      <c r="D537" s="166" t="str">
        <f>IF($A537&gt;MIN($A$10,$A$2),"",IF(AND($A$12,$A$6=1,B537&lt;$A$7,$A$7&lt;=MAX(DemoHistory[Date])),$A$8,1))</f>
        <v/>
      </c>
      <c r="E537" s="166" t="str">
        <f t="shared" si="21"/>
        <v/>
      </c>
      <c r="F537" s="166" t="str">
        <f>IF($A537&gt;MIN($A$10,$A$2),"",IF($A537&lt;50,"n.a.",IF(COUNT(INDEX(StockDaily[Adjusted close],MAX(1,$A537-50+1)):E537)=50,AVERAGE(INDEX(StockDaily[Adjusted close],MAX(1,$A537-50+1)):E537),"n.a.")))</f>
        <v/>
      </c>
      <c r="G537" s="166" t="str">
        <f>IF($A537&gt;MIN($A$10,$A$2),"",IF($A537&lt;200,"n.a.",IF(COUNT(INDEX(StockDaily[Adjusted close],MAX(1,$A537-200+1)):E537)=200,AVERAGE(INDEX(StockDaily[Adjusted close],MAX(1,$A537-200+1)):E537),"n.a.")))</f>
        <v/>
      </c>
      <c r="H537" s="136" t="str">
        <f>IF($A537&gt;MIN($A$10,$A$2),"",IF($A$5="","Choose stock",IF(NOT($A$12),"Check split rule",IF(NOT(ISNUMBER(B537)),"Invalid date",IF(OR(B537&lt;=0,B537&lt;&gt;INT(B537)),"Invalid date",IF(COUNTIFS(DemoHistory[Date],B537)&lt;&gt;1,"Duplicate date",IF(AND($A537&gt;1,B537&lt;=B536),"Dates out of order",IF(NOT(ISNUMBER(C537)),"Missing price",IF(C537&lt;=0,"Nonpositive price","OK")))))))))</f>
        <v/>
      </c>
      <c r="I537" s="136"/>
      <c r="J537" s="136"/>
      <c r="K537" s="136"/>
      <c r="L537" s="136"/>
      <c r="M537" s="136"/>
      <c r="N537" s="136" t="e">
        <f t="shared" si="22"/>
        <v>#N/A</v>
      </c>
      <c r="O537" s="136" t="e">
        <f t="shared" si="23"/>
        <v>#N/A</v>
      </c>
    </row>
    <row r="538" spans="1:15" ht="22.05" customHeight="1" x14ac:dyDescent="0.3">
      <c r="A538" s="136">
        <v>494</v>
      </c>
      <c r="B538" s="165" t="str">
        <f>IF($A538&gt;MIN($A$10,$A$2),"",INDEX(DemoHistory[Date],$A538))</f>
        <v/>
      </c>
      <c r="C538" s="166" t="str">
        <f>IF(OR($A538&gt;MIN($A$10,$A$2),$A$5=""),"",INDEX(DemoHistory[],$A538,MATCH($A$5,DemoHistory[#Headers],0)))</f>
        <v/>
      </c>
      <c r="D538" s="166" t="str">
        <f>IF($A538&gt;MIN($A$10,$A$2),"",IF(AND($A$12,$A$6=1,B538&lt;$A$7,$A$7&lt;=MAX(DemoHistory[Date])),$A$8,1))</f>
        <v/>
      </c>
      <c r="E538" s="166" t="str">
        <f t="shared" si="21"/>
        <v/>
      </c>
      <c r="F538" s="166" t="str">
        <f>IF($A538&gt;MIN($A$10,$A$2),"",IF($A538&lt;50,"n.a.",IF(COUNT(INDEX(StockDaily[Adjusted close],MAX(1,$A538-50+1)):E538)=50,AVERAGE(INDEX(StockDaily[Adjusted close],MAX(1,$A538-50+1)):E538),"n.a.")))</f>
        <v/>
      </c>
      <c r="G538" s="166" t="str">
        <f>IF($A538&gt;MIN($A$10,$A$2),"",IF($A538&lt;200,"n.a.",IF(COUNT(INDEX(StockDaily[Adjusted close],MAX(1,$A538-200+1)):E538)=200,AVERAGE(INDEX(StockDaily[Adjusted close],MAX(1,$A538-200+1)):E538),"n.a.")))</f>
        <v/>
      </c>
      <c r="H538" s="136" t="str">
        <f>IF($A538&gt;MIN($A$10,$A$2),"",IF($A$5="","Choose stock",IF(NOT($A$12),"Check split rule",IF(NOT(ISNUMBER(B538)),"Invalid date",IF(OR(B538&lt;=0,B538&lt;&gt;INT(B538)),"Invalid date",IF(COUNTIFS(DemoHistory[Date],B538)&lt;&gt;1,"Duplicate date",IF(AND($A538&gt;1,B538&lt;=B537),"Dates out of order",IF(NOT(ISNUMBER(C538)),"Missing price",IF(C538&lt;=0,"Nonpositive price","OK")))))))))</f>
        <v/>
      </c>
      <c r="I538" s="136"/>
      <c r="J538" s="136"/>
      <c r="K538" s="136"/>
      <c r="L538" s="136"/>
      <c r="M538" s="136"/>
      <c r="N538" s="136" t="e">
        <f t="shared" si="22"/>
        <v>#N/A</v>
      </c>
      <c r="O538" s="136" t="e">
        <f t="shared" si="23"/>
        <v>#N/A</v>
      </c>
    </row>
    <row r="539" spans="1:15" ht="22.05" customHeight="1" x14ac:dyDescent="0.3">
      <c r="A539" s="136">
        <v>495</v>
      </c>
      <c r="B539" s="165" t="str">
        <f>IF($A539&gt;MIN($A$10,$A$2),"",INDEX(DemoHistory[Date],$A539))</f>
        <v/>
      </c>
      <c r="C539" s="166" t="str">
        <f>IF(OR($A539&gt;MIN($A$10,$A$2),$A$5=""),"",INDEX(DemoHistory[],$A539,MATCH($A$5,DemoHistory[#Headers],0)))</f>
        <v/>
      </c>
      <c r="D539" s="166" t="str">
        <f>IF($A539&gt;MIN($A$10,$A$2),"",IF(AND($A$12,$A$6=1,B539&lt;$A$7,$A$7&lt;=MAX(DemoHistory[Date])),$A$8,1))</f>
        <v/>
      </c>
      <c r="E539" s="166" t="str">
        <f t="shared" si="21"/>
        <v/>
      </c>
      <c r="F539" s="166" t="str">
        <f>IF($A539&gt;MIN($A$10,$A$2),"",IF($A539&lt;50,"n.a.",IF(COUNT(INDEX(StockDaily[Adjusted close],MAX(1,$A539-50+1)):E539)=50,AVERAGE(INDEX(StockDaily[Adjusted close],MAX(1,$A539-50+1)):E539),"n.a.")))</f>
        <v/>
      </c>
      <c r="G539" s="166" t="str">
        <f>IF($A539&gt;MIN($A$10,$A$2),"",IF($A539&lt;200,"n.a.",IF(COUNT(INDEX(StockDaily[Adjusted close],MAX(1,$A539-200+1)):E539)=200,AVERAGE(INDEX(StockDaily[Adjusted close],MAX(1,$A539-200+1)):E539),"n.a.")))</f>
        <v/>
      </c>
      <c r="H539" s="136" t="str">
        <f>IF($A539&gt;MIN($A$10,$A$2),"",IF($A$5="","Choose stock",IF(NOT($A$12),"Check split rule",IF(NOT(ISNUMBER(B539)),"Invalid date",IF(OR(B539&lt;=0,B539&lt;&gt;INT(B539)),"Invalid date",IF(COUNTIFS(DemoHistory[Date],B539)&lt;&gt;1,"Duplicate date",IF(AND($A539&gt;1,B539&lt;=B538),"Dates out of order",IF(NOT(ISNUMBER(C539)),"Missing price",IF(C539&lt;=0,"Nonpositive price","OK")))))))))</f>
        <v/>
      </c>
      <c r="I539" s="136"/>
      <c r="J539" s="136"/>
      <c r="K539" s="136"/>
      <c r="L539" s="136"/>
      <c r="M539" s="136"/>
      <c r="N539" s="136" t="e">
        <f t="shared" si="22"/>
        <v>#N/A</v>
      </c>
      <c r="O539" s="136" t="e">
        <f t="shared" si="23"/>
        <v>#N/A</v>
      </c>
    </row>
    <row r="540" spans="1:15" ht="22.05" customHeight="1" x14ac:dyDescent="0.3">
      <c r="A540" s="136">
        <v>496</v>
      </c>
      <c r="B540" s="165" t="str">
        <f>IF($A540&gt;MIN($A$10,$A$2),"",INDEX(DemoHistory[Date],$A540))</f>
        <v/>
      </c>
      <c r="C540" s="166" t="str">
        <f>IF(OR($A540&gt;MIN($A$10,$A$2),$A$5=""),"",INDEX(DemoHistory[],$A540,MATCH($A$5,DemoHistory[#Headers],0)))</f>
        <v/>
      </c>
      <c r="D540" s="166" t="str">
        <f>IF($A540&gt;MIN($A$10,$A$2),"",IF(AND($A$12,$A$6=1,B540&lt;$A$7,$A$7&lt;=MAX(DemoHistory[Date])),$A$8,1))</f>
        <v/>
      </c>
      <c r="E540" s="166" t="str">
        <f t="shared" si="21"/>
        <v/>
      </c>
      <c r="F540" s="166" t="str">
        <f>IF($A540&gt;MIN($A$10,$A$2),"",IF($A540&lt;50,"n.a.",IF(COUNT(INDEX(StockDaily[Adjusted close],MAX(1,$A540-50+1)):E540)=50,AVERAGE(INDEX(StockDaily[Adjusted close],MAX(1,$A540-50+1)):E540),"n.a.")))</f>
        <v/>
      </c>
      <c r="G540" s="166" t="str">
        <f>IF($A540&gt;MIN($A$10,$A$2),"",IF($A540&lt;200,"n.a.",IF(COUNT(INDEX(StockDaily[Adjusted close],MAX(1,$A540-200+1)):E540)=200,AVERAGE(INDEX(StockDaily[Adjusted close],MAX(1,$A540-200+1)):E540),"n.a.")))</f>
        <v/>
      </c>
      <c r="H540" s="136" t="str">
        <f>IF($A540&gt;MIN($A$10,$A$2),"",IF($A$5="","Choose stock",IF(NOT($A$12),"Check split rule",IF(NOT(ISNUMBER(B540)),"Invalid date",IF(OR(B540&lt;=0,B540&lt;&gt;INT(B540)),"Invalid date",IF(COUNTIFS(DemoHistory[Date],B540)&lt;&gt;1,"Duplicate date",IF(AND($A540&gt;1,B540&lt;=B539),"Dates out of order",IF(NOT(ISNUMBER(C540)),"Missing price",IF(C540&lt;=0,"Nonpositive price","OK")))))))))</f>
        <v/>
      </c>
      <c r="I540" s="136"/>
      <c r="J540" s="136"/>
      <c r="K540" s="136"/>
      <c r="L540" s="136"/>
      <c r="M540" s="136"/>
      <c r="N540" s="136" t="e">
        <f t="shared" si="22"/>
        <v>#N/A</v>
      </c>
      <c r="O540" s="136" t="e">
        <f t="shared" si="23"/>
        <v>#N/A</v>
      </c>
    </row>
    <row r="541" spans="1:15" ht="22.05" customHeight="1" x14ac:dyDescent="0.3">
      <c r="A541" s="136">
        <v>497</v>
      </c>
      <c r="B541" s="165" t="str">
        <f>IF($A541&gt;MIN($A$10,$A$2),"",INDEX(DemoHistory[Date],$A541))</f>
        <v/>
      </c>
      <c r="C541" s="166" t="str">
        <f>IF(OR($A541&gt;MIN($A$10,$A$2),$A$5=""),"",INDEX(DemoHistory[],$A541,MATCH($A$5,DemoHistory[#Headers],0)))</f>
        <v/>
      </c>
      <c r="D541" s="166" t="str">
        <f>IF($A541&gt;MIN($A$10,$A$2),"",IF(AND($A$12,$A$6=1,B541&lt;$A$7,$A$7&lt;=MAX(DemoHistory[Date])),$A$8,1))</f>
        <v/>
      </c>
      <c r="E541" s="166" t="str">
        <f t="shared" si="21"/>
        <v/>
      </c>
      <c r="F541" s="166" t="str">
        <f>IF($A541&gt;MIN($A$10,$A$2),"",IF($A541&lt;50,"n.a.",IF(COUNT(INDEX(StockDaily[Adjusted close],MAX(1,$A541-50+1)):E541)=50,AVERAGE(INDEX(StockDaily[Adjusted close],MAX(1,$A541-50+1)):E541),"n.a.")))</f>
        <v/>
      </c>
      <c r="G541" s="166" t="str">
        <f>IF($A541&gt;MIN($A$10,$A$2),"",IF($A541&lt;200,"n.a.",IF(COUNT(INDEX(StockDaily[Adjusted close],MAX(1,$A541-200+1)):E541)=200,AVERAGE(INDEX(StockDaily[Adjusted close],MAX(1,$A541-200+1)):E541),"n.a.")))</f>
        <v/>
      </c>
      <c r="H541" s="136" t="str">
        <f>IF($A541&gt;MIN($A$10,$A$2),"",IF($A$5="","Choose stock",IF(NOT($A$12),"Check split rule",IF(NOT(ISNUMBER(B541)),"Invalid date",IF(OR(B541&lt;=0,B541&lt;&gt;INT(B541)),"Invalid date",IF(COUNTIFS(DemoHistory[Date],B541)&lt;&gt;1,"Duplicate date",IF(AND($A541&gt;1,B541&lt;=B540),"Dates out of order",IF(NOT(ISNUMBER(C541)),"Missing price",IF(C541&lt;=0,"Nonpositive price","OK")))))))))</f>
        <v/>
      </c>
      <c r="I541" s="136"/>
      <c r="J541" s="136"/>
      <c r="K541" s="136"/>
      <c r="L541" s="136"/>
      <c r="M541" s="136"/>
      <c r="N541" s="136" t="e">
        <f t="shared" si="22"/>
        <v>#N/A</v>
      </c>
      <c r="O541" s="136" t="e">
        <f t="shared" si="23"/>
        <v>#N/A</v>
      </c>
    </row>
    <row r="542" spans="1:15" ht="22.05" customHeight="1" x14ac:dyDescent="0.3">
      <c r="A542" s="136">
        <v>498</v>
      </c>
      <c r="B542" s="165" t="str">
        <f>IF($A542&gt;MIN($A$10,$A$2),"",INDEX(DemoHistory[Date],$A542))</f>
        <v/>
      </c>
      <c r="C542" s="166" t="str">
        <f>IF(OR($A542&gt;MIN($A$10,$A$2),$A$5=""),"",INDEX(DemoHistory[],$A542,MATCH($A$5,DemoHistory[#Headers],0)))</f>
        <v/>
      </c>
      <c r="D542" s="166" t="str">
        <f>IF($A542&gt;MIN($A$10,$A$2),"",IF(AND($A$12,$A$6=1,B542&lt;$A$7,$A$7&lt;=MAX(DemoHistory[Date])),$A$8,1))</f>
        <v/>
      </c>
      <c r="E542" s="166" t="str">
        <f t="shared" si="21"/>
        <v/>
      </c>
      <c r="F542" s="166" t="str">
        <f>IF($A542&gt;MIN($A$10,$A$2),"",IF($A542&lt;50,"n.a.",IF(COUNT(INDEX(StockDaily[Adjusted close],MAX(1,$A542-50+1)):E542)=50,AVERAGE(INDEX(StockDaily[Adjusted close],MAX(1,$A542-50+1)):E542),"n.a.")))</f>
        <v/>
      </c>
      <c r="G542" s="166" t="str">
        <f>IF($A542&gt;MIN($A$10,$A$2),"",IF($A542&lt;200,"n.a.",IF(COUNT(INDEX(StockDaily[Adjusted close],MAX(1,$A542-200+1)):E542)=200,AVERAGE(INDEX(StockDaily[Adjusted close],MAX(1,$A542-200+1)):E542),"n.a.")))</f>
        <v/>
      </c>
      <c r="H542" s="136" t="str">
        <f>IF($A542&gt;MIN($A$10,$A$2),"",IF($A$5="","Choose stock",IF(NOT($A$12),"Check split rule",IF(NOT(ISNUMBER(B542)),"Invalid date",IF(OR(B542&lt;=0,B542&lt;&gt;INT(B542)),"Invalid date",IF(COUNTIFS(DemoHistory[Date],B542)&lt;&gt;1,"Duplicate date",IF(AND($A542&gt;1,B542&lt;=B541),"Dates out of order",IF(NOT(ISNUMBER(C542)),"Missing price",IF(C542&lt;=0,"Nonpositive price","OK")))))))))</f>
        <v/>
      </c>
      <c r="I542" s="136"/>
      <c r="J542" s="136"/>
      <c r="K542" s="136"/>
      <c r="L542" s="136"/>
      <c r="M542" s="136"/>
      <c r="N542" s="136" t="e">
        <f t="shared" si="22"/>
        <v>#N/A</v>
      </c>
      <c r="O542" s="136" t="e">
        <f t="shared" si="23"/>
        <v>#N/A</v>
      </c>
    </row>
    <row r="543" spans="1:15" ht="22.05" customHeight="1" x14ac:dyDescent="0.3">
      <c r="A543" s="136">
        <v>499</v>
      </c>
      <c r="B543" s="165" t="str">
        <f>IF($A543&gt;MIN($A$10,$A$2),"",INDEX(DemoHistory[Date],$A543))</f>
        <v/>
      </c>
      <c r="C543" s="166" t="str">
        <f>IF(OR($A543&gt;MIN($A$10,$A$2),$A$5=""),"",INDEX(DemoHistory[],$A543,MATCH($A$5,DemoHistory[#Headers],0)))</f>
        <v/>
      </c>
      <c r="D543" s="166" t="str">
        <f>IF($A543&gt;MIN($A$10,$A$2),"",IF(AND($A$12,$A$6=1,B543&lt;$A$7,$A$7&lt;=MAX(DemoHistory[Date])),$A$8,1))</f>
        <v/>
      </c>
      <c r="E543" s="166" t="str">
        <f t="shared" si="21"/>
        <v/>
      </c>
      <c r="F543" s="166" t="str">
        <f>IF($A543&gt;MIN($A$10,$A$2),"",IF($A543&lt;50,"n.a.",IF(COUNT(INDEX(StockDaily[Adjusted close],MAX(1,$A543-50+1)):E543)=50,AVERAGE(INDEX(StockDaily[Adjusted close],MAX(1,$A543-50+1)):E543),"n.a.")))</f>
        <v/>
      </c>
      <c r="G543" s="166" t="str">
        <f>IF($A543&gt;MIN($A$10,$A$2),"",IF($A543&lt;200,"n.a.",IF(COUNT(INDEX(StockDaily[Adjusted close],MAX(1,$A543-200+1)):E543)=200,AVERAGE(INDEX(StockDaily[Adjusted close],MAX(1,$A543-200+1)):E543),"n.a.")))</f>
        <v/>
      </c>
      <c r="H543" s="136" t="str">
        <f>IF($A543&gt;MIN($A$10,$A$2),"",IF($A$5="","Choose stock",IF(NOT($A$12),"Check split rule",IF(NOT(ISNUMBER(B543)),"Invalid date",IF(OR(B543&lt;=0,B543&lt;&gt;INT(B543)),"Invalid date",IF(COUNTIFS(DemoHistory[Date],B543)&lt;&gt;1,"Duplicate date",IF(AND($A543&gt;1,B543&lt;=B542),"Dates out of order",IF(NOT(ISNUMBER(C543)),"Missing price",IF(C543&lt;=0,"Nonpositive price","OK")))))))))</f>
        <v/>
      </c>
      <c r="I543" s="136"/>
      <c r="J543" s="136"/>
      <c r="K543" s="136"/>
      <c r="L543" s="136"/>
      <c r="M543" s="136"/>
      <c r="N543" s="136" t="e">
        <f t="shared" si="22"/>
        <v>#N/A</v>
      </c>
      <c r="O543" s="136" t="e">
        <f t="shared" si="23"/>
        <v>#N/A</v>
      </c>
    </row>
    <row r="544" spans="1:15" ht="22.05" customHeight="1" x14ac:dyDescent="0.3">
      <c r="A544" s="136">
        <v>500</v>
      </c>
      <c r="B544" s="165" t="str">
        <f>IF($A544&gt;MIN($A$10,$A$2),"",INDEX(DemoHistory[Date],$A544))</f>
        <v/>
      </c>
      <c r="C544" s="166" t="str">
        <f>IF(OR($A544&gt;MIN($A$10,$A$2),$A$5=""),"",INDEX(DemoHistory[],$A544,MATCH($A$5,DemoHistory[#Headers],0)))</f>
        <v/>
      </c>
      <c r="D544" s="166" t="str">
        <f>IF($A544&gt;MIN($A$10,$A$2),"",IF(AND($A$12,$A$6=1,B544&lt;$A$7,$A$7&lt;=MAX(DemoHistory[Date])),$A$8,1))</f>
        <v/>
      </c>
      <c r="E544" s="166" t="str">
        <f t="shared" si="21"/>
        <v/>
      </c>
      <c r="F544" s="166" t="str">
        <f>IF($A544&gt;MIN($A$10,$A$2),"",IF($A544&lt;50,"n.a.",IF(COUNT(INDEX(StockDaily[Adjusted close],MAX(1,$A544-50+1)):E544)=50,AVERAGE(INDEX(StockDaily[Adjusted close],MAX(1,$A544-50+1)):E544),"n.a.")))</f>
        <v/>
      </c>
      <c r="G544" s="166" t="str">
        <f>IF($A544&gt;MIN($A$10,$A$2),"",IF($A544&lt;200,"n.a.",IF(COUNT(INDEX(StockDaily[Adjusted close],MAX(1,$A544-200+1)):E544)=200,AVERAGE(INDEX(StockDaily[Adjusted close],MAX(1,$A544-200+1)):E544),"n.a.")))</f>
        <v/>
      </c>
      <c r="H544" s="136" t="str">
        <f>IF($A544&gt;MIN($A$10,$A$2),"",IF($A$5="","Choose stock",IF(NOT($A$12),"Check split rule",IF(NOT(ISNUMBER(B544)),"Invalid date",IF(OR(B544&lt;=0,B544&lt;&gt;INT(B544)),"Invalid date",IF(COUNTIFS(DemoHistory[Date],B544)&lt;&gt;1,"Duplicate date",IF(AND($A544&gt;1,B544&lt;=B543),"Dates out of order",IF(NOT(ISNUMBER(C544)),"Missing price",IF(C544&lt;=0,"Nonpositive price","OK")))))))))</f>
        <v/>
      </c>
      <c r="I544" s="136"/>
      <c r="J544" s="136"/>
      <c r="K544" s="136"/>
      <c r="L544" s="136"/>
      <c r="M544" s="136"/>
      <c r="N544" s="136" t="e">
        <f t="shared" si="22"/>
        <v>#N/A</v>
      </c>
      <c r="O544" s="136" t="e">
        <f t="shared" si="23"/>
        <v>#N/A</v>
      </c>
    </row>
    <row r="545" spans="1:15" ht="22.05" customHeight="1" x14ac:dyDescent="0.3">
      <c r="A545" s="136">
        <v>501</v>
      </c>
      <c r="B545" s="165" t="str">
        <f>IF($A545&gt;MIN($A$10,$A$2),"",INDEX(DemoHistory[Date],$A545))</f>
        <v/>
      </c>
      <c r="C545" s="166" t="str">
        <f>IF(OR($A545&gt;MIN($A$10,$A$2),$A$5=""),"",INDEX(DemoHistory[],$A545,MATCH($A$5,DemoHistory[#Headers],0)))</f>
        <v/>
      </c>
      <c r="D545" s="166" t="str">
        <f>IF($A545&gt;MIN($A$10,$A$2),"",IF(AND($A$12,$A$6=1,B545&lt;$A$7,$A$7&lt;=MAX(DemoHistory[Date])),$A$8,1))</f>
        <v/>
      </c>
      <c r="E545" s="166" t="str">
        <f t="shared" si="21"/>
        <v/>
      </c>
      <c r="F545" s="166" t="str">
        <f>IF($A545&gt;MIN($A$10,$A$2),"",IF($A545&lt;50,"n.a.",IF(COUNT(INDEX(StockDaily[Adjusted close],MAX(1,$A545-50+1)):E545)=50,AVERAGE(INDEX(StockDaily[Adjusted close],MAX(1,$A545-50+1)):E545),"n.a.")))</f>
        <v/>
      </c>
      <c r="G545" s="166" t="str">
        <f>IF($A545&gt;MIN($A$10,$A$2),"",IF($A545&lt;200,"n.a.",IF(COUNT(INDEX(StockDaily[Adjusted close],MAX(1,$A545-200+1)):E545)=200,AVERAGE(INDEX(StockDaily[Adjusted close],MAX(1,$A545-200+1)):E545),"n.a.")))</f>
        <v/>
      </c>
      <c r="H545" s="136" t="str">
        <f>IF($A545&gt;MIN($A$10,$A$2),"",IF($A$5="","Choose stock",IF(NOT($A$12),"Check split rule",IF(NOT(ISNUMBER(B545)),"Invalid date",IF(OR(B545&lt;=0,B545&lt;&gt;INT(B545)),"Invalid date",IF(COUNTIFS(DemoHistory[Date],B545)&lt;&gt;1,"Duplicate date",IF(AND($A545&gt;1,B545&lt;=B544),"Dates out of order",IF(NOT(ISNUMBER(C545)),"Missing price",IF(C545&lt;=0,"Nonpositive price","OK")))))))))</f>
        <v/>
      </c>
      <c r="I545" s="136"/>
      <c r="J545" s="136"/>
      <c r="K545" s="136"/>
      <c r="L545" s="136"/>
      <c r="M545" s="136"/>
      <c r="N545" s="136" t="e">
        <f t="shared" si="22"/>
        <v>#N/A</v>
      </c>
      <c r="O545" s="136" t="e">
        <f t="shared" si="23"/>
        <v>#N/A</v>
      </c>
    </row>
    <row r="546" spans="1:15" ht="22.05" customHeight="1" x14ac:dyDescent="0.3">
      <c r="A546" s="136">
        <v>502</v>
      </c>
      <c r="B546" s="165" t="str">
        <f>IF($A546&gt;MIN($A$10,$A$2),"",INDEX(DemoHistory[Date],$A546))</f>
        <v/>
      </c>
      <c r="C546" s="166" t="str">
        <f>IF(OR($A546&gt;MIN($A$10,$A$2),$A$5=""),"",INDEX(DemoHistory[],$A546,MATCH($A$5,DemoHistory[#Headers],0)))</f>
        <v/>
      </c>
      <c r="D546" s="166" t="str">
        <f>IF($A546&gt;MIN($A$10,$A$2),"",IF(AND($A$12,$A$6=1,B546&lt;$A$7,$A$7&lt;=MAX(DemoHistory[Date])),$A$8,1))</f>
        <v/>
      </c>
      <c r="E546" s="166" t="str">
        <f t="shared" si="21"/>
        <v/>
      </c>
      <c r="F546" s="166" t="str">
        <f>IF($A546&gt;MIN($A$10,$A$2),"",IF($A546&lt;50,"n.a.",IF(COUNT(INDEX(StockDaily[Adjusted close],MAX(1,$A546-50+1)):E546)=50,AVERAGE(INDEX(StockDaily[Adjusted close],MAX(1,$A546-50+1)):E546),"n.a.")))</f>
        <v/>
      </c>
      <c r="G546" s="166" t="str">
        <f>IF($A546&gt;MIN($A$10,$A$2),"",IF($A546&lt;200,"n.a.",IF(COUNT(INDEX(StockDaily[Adjusted close],MAX(1,$A546-200+1)):E546)=200,AVERAGE(INDEX(StockDaily[Adjusted close],MAX(1,$A546-200+1)):E546),"n.a.")))</f>
        <v/>
      </c>
      <c r="H546" s="136" t="str">
        <f>IF($A546&gt;MIN($A$10,$A$2),"",IF($A$5="","Choose stock",IF(NOT($A$12),"Check split rule",IF(NOT(ISNUMBER(B546)),"Invalid date",IF(OR(B546&lt;=0,B546&lt;&gt;INT(B546)),"Invalid date",IF(COUNTIFS(DemoHistory[Date],B546)&lt;&gt;1,"Duplicate date",IF(AND($A546&gt;1,B546&lt;=B545),"Dates out of order",IF(NOT(ISNUMBER(C546)),"Missing price",IF(C546&lt;=0,"Nonpositive price","OK")))))))))</f>
        <v/>
      </c>
      <c r="I546" s="136"/>
      <c r="J546" s="136"/>
      <c r="K546" s="136"/>
      <c r="L546" s="136"/>
      <c r="M546" s="136"/>
      <c r="N546" s="136" t="e">
        <f t="shared" si="22"/>
        <v>#N/A</v>
      </c>
      <c r="O546" s="136" t="e">
        <f t="shared" si="23"/>
        <v>#N/A</v>
      </c>
    </row>
    <row r="547" spans="1:15" ht="22.05" customHeight="1" x14ac:dyDescent="0.3">
      <c r="A547" s="136">
        <v>503</v>
      </c>
      <c r="B547" s="165" t="str">
        <f>IF($A547&gt;MIN($A$10,$A$2),"",INDEX(DemoHistory[Date],$A547))</f>
        <v/>
      </c>
      <c r="C547" s="166" t="str">
        <f>IF(OR($A547&gt;MIN($A$10,$A$2),$A$5=""),"",INDEX(DemoHistory[],$A547,MATCH($A$5,DemoHistory[#Headers],0)))</f>
        <v/>
      </c>
      <c r="D547" s="166" t="str">
        <f>IF($A547&gt;MIN($A$10,$A$2),"",IF(AND($A$12,$A$6=1,B547&lt;$A$7,$A$7&lt;=MAX(DemoHistory[Date])),$A$8,1))</f>
        <v/>
      </c>
      <c r="E547" s="166" t="str">
        <f t="shared" si="21"/>
        <v/>
      </c>
      <c r="F547" s="166" t="str">
        <f>IF($A547&gt;MIN($A$10,$A$2),"",IF($A547&lt;50,"n.a.",IF(COUNT(INDEX(StockDaily[Adjusted close],MAX(1,$A547-50+1)):E547)=50,AVERAGE(INDEX(StockDaily[Adjusted close],MAX(1,$A547-50+1)):E547),"n.a.")))</f>
        <v/>
      </c>
      <c r="G547" s="166" t="str">
        <f>IF($A547&gt;MIN($A$10,$A$2),"",IF($A547&lt;200,"n.a.",IF(COUNT(INDEX(StockDaily[Adjusted close],MAX(1,$A547-200+1)):E547)=200,AVERAGE(INDEX(StockDaily[Adjusted close],MAX(1,$A547-200+1)):E547),"n.a.")))</f>
        <v/>
      </c>
      <c r="H547" s="136" t="str">
        <f>IF($A547&gt;MIN($A$10,$A$2),"",IF($A$5="","Choose stock",IF(NOT($A$12),"Check split rule",IF(NOT(ISNUMBER(B547)),"Invalid date",IF(OR(B547&lt;=0,B547&lt;&gt;INT(B547)),"Invalid date",IF(COUNTIFS(DemoHistory[Date],B547)&lt;&gt;1,"Duplicate date",IF(AND($A547&gt;1,B547&lt;=B546),"Dates out of order",IF(NOT(ISNUMBER(C547)),"Missing price",IF(C547&lt;=0,"Nonpositive price","OK")))))))))</f>
        <v/>
      </c>
      <c r="I547" s="136"/>
      <c r="J547" s="136"/>
      <c r="K547" s="136"/>
      <c r="L547" s="136"/>
      <c r="M547" s="136"/>
      <c r="N547" s="136" t="e">
        <f t="shared" si="22"/>
        <v>#N/A</v>
      </c>
      <c r="O547" s="136" t="e">
        <f t="shared" si="23"/>
        <v>#N/A</v>
      </c>
    </row>
    <row r="548" spans="1:15" ht="22.05" customHeight="1" x14ac:dyDescent="0.3">
      <c r="A548" s="136">
        <v>504</v>
      </c>
      <c r="B548" s="165" t="str">
        <f>IF($A548&gt;MIN($A$10,$A$2),"",INDEX(DemoHistory[Date],$A548))</f>
        <v/>
      </c>
      <c r="C548" s="166" t="str">
        <f>IF(OR($A548&gt;MIN($A$10,$A$2),$A$5=""),"",INDEX(DemoHistory[],$A548,MATCH($A$5,DemoHistory[#Headers],0)))</f>
        <v/>
      </c>
      <c r="D548" s="166" t="str">
        <f>IF($A548&gt;MIN($A$10,$A$2),"",IF(AND($A$12,$A$6=1,B548&lt;$A$7,$A$7&lt;=MAX(DemoHistory[Date])),$A$8,1))</f>
        <v/>
      </c>
      <c r="E548" s="166" t="str">
        <f t="shared" si="21"/>
        <v/>
      </c>
      <c r="F548" s="166" t="str">
        <f>IF($A548&gt;MIN($A$10,$A$2),"",IF($A548&lt;50,"n.a.",IF(COUNT(INDEX(StockDaily[Adjusted close],MAX(1,$A548-50+1)):E548)=50,AVERAGE(INDEX(StockDaily[Adjusted close],MAX(1,$A548-50+1)):E548),"n.a.")))</f>
        <v/>
      </c>
      <c r="G548" s="166" t="str">
        <f>IF($A548&gt;MIN($A$10,$A$2),"",IF($A548&lt;200,"n.a.",IF(COUNT(INDEX(StockDaily[Adjusted close],MAX(1,$A548-200+1)):E548)=200,AVERAGE(INDEX(StockDaily[Adjusted close],MAX(1,$A548-200+1)):E548),"n.a.")))</f>
        <v/>
      </c>
      <c r="H548" s="136" t="str">
        <f>IF($A548&gt;MIN($A$10,$A$2),"",IF($A$5="","Choose stock",IF(NOT($A$12),"Check split rule",IF(NOT(ISNUMBER(B548)),"Invalid date",IF(OR(B548&lt;=0,B548&lt;&gt;INT(B548)),"Invalid date",IF(COUNTIFS(DemoHistory[Date],B548)&lt;&gt;1,"Duplicate date",IF(AND($A548&gt;1,B548&lt;=B547),"Dates out of order",IF(NOT(ISNUMBER(C548)),"Missing price",IF(C548&lt;=0,"Nonpositive price","OK")))))))))</f>
        <v/>
      </c>
      <c r="I548" s="136"/>
      <c r="J548" s="136"/>
      <c r="K548" s="136"/>
      <c r="L548" s="136"/>
      <c r="M548" s="136"/>
      <c r="N548" s="136" t="e">
        <f t="shared" si="22"/>
        <v>#N/A</v>
      </c>
      <c r="O548" s="136" t="e">
        <f t="shared" si="23"/>
        <v>#N/A</v>
      </c>
    </row>
    <row r="549" spans="1:15" ht="22.05" customHeight="1" x14ac:dyDescent="0.3">
      <c r="A549" s="136">
        <v>505</v>
      </c>
      <c r="B549" s="165" t="str">
        <f>IF($A549&gt;MIN($A$10,$A$2),"",INDEX(DemoHistory[Date],$A549))</f>
        <v/>
      </c>
      <c r="C549" s="166" t="str">
        <f>IF(OR($A549&gt;MIN($A$10,$A$2),$A$5=""),"",INDEX(DemoHistory[],$A549,MATCH($A$5,DemoHistory[#Headers],0)))</f>
        <v/>
      </c>
      <c r="D549" s="166" t="str">
        <f>IF($A549&gt;MIN($A$10,$A$2),"",IF(AND($A$12,$A$6=1,B549&lt;$A$7,$A$7&lt;=MAX(DemoHistory[Date])),$A$8,1))</f>
        <v/>
      </c>
      <c r="E549" s="166" t="str">
        <f t="shared" si="21"/>
        <v/>
      </c>
      <c r="F549" s="166" t="str">
        <f>IF($A549&gt;MIN($A$10,$A$2),"",IF($A549&lt;50,"n.a.",IF(COUNT(INDEX(StockDaily[Adjusted close],MAX(1,$A549-50+1)):E549)=50,AVERAGE(INDEX(StockDaily[Adjusted close],MAX(1,$A549-50+1)):E549),"n.a.")))</f>
        <v/>
      </c>
      <c r="G549" s="166" t="str">
        <f>IF($A549&gt;MIN($A$10,$A$2),"",IF($A549&lt;200,"n.a.",IF(COUNT(INDEX(StockDaily[Adjusted close],MAX(1,$A549-200+1)):E549)=200,AVERAGE(INDEX(StockDaily[Adjusted close],MAX(1,$A549-200+1)):E549),"n.a.")))</f>
        <v/>
      </c>
      <c r="H549" s="136" t="str">
        <f>IF($A549&gt;MIN($A$10,$A$2),"",IF($A$5="","Choose stock",IF(NOT($A$12),"Check split rule",IF(NOT(ISNUMBER(B549)),"Invalid date",IF(OR(B549&lt;=0,B549&lt;&gt;INT(B549)),"Invalid date",IF(COUNTIFS(DemoHistory[Date],B549)&lt;&gt;1,"Duplicate date",IF(AND($A549&gt;1,B549&lt;=B548),"Dates out of order",IF(NOT(ISNUMBER(C549)),"Missing price",IF(C549&lt;=0,"Nonpositive price","OK")))))))))</f>
        <v/>
      </c>
      <c r="I549" s="136"/>
      <c r="J549" s="136"/>
      <c r="K549" s="136"/>
      <c r="L549" s="136"/>
      <c r="M549" s="136"/>
      <c r="N549" s="136" t="e">
        <f t="shared" si="22"/>
        <v>#N/A</v>
      </c>
      <c r="O549" s="136" t="e">
        <f t="shared" si="23"/>
        <v>#N/A</v>
      </c>
    </row>
    <row r="550" spans="1:15" ht="22.05" customHeight="1" x14ac:dyDescent="0.3">
      <c r="A550" s="136">
        <v>506</v>
      </c>
      <c r="B550" s="165" t="str">
        <f>IF($A550&gt;MIN($A$10,$A$2),"",INDEX(DemoHistory[Date],$A550))</f>
        <v/>
      </c>
      <c r="C550" s="166" t="str">
        <f>IF(OR($A550&gt;MIN($A$10,$A$2),$A$5=""),"",INDEX(DemoHistory[],$A550,MATCH($A$5,DemoHistory[#Headers],0)))</f>
        <v/>
      </c>
      <c r="D550" s="166" t="str">
        <f>IF($A550&gt;MIN($A$10,$A$2),"",IF(AND($A$12,$A$6=1,B550&lt;$A$7,$A$7&lt;=MAX(DemoHistory[Date])),$A$8,1))</f>
        <v/>
      </c>
      <c r="E550" s="166" t="str">
        <f t="shared" si="21"/>
        <v/>
      </c>
      <c r="F550" s="166" t="str">
        <f>IF($A550&gt;MIN($A$10,$A$2),"",IF($A550&lt;50,"n.a.",IF(COUNT(INDEX(StockDaily[Adjusted close],MAX(1,$A550-50+1)):E550)=50,AVERAGE(INDEX(StockDaily[Adjusted close],MAX(1,$A550-50+1)):E550),"n.a.")))</f>
        <v/>
      </c>
      <c r="G550" s="166" t="str">
        <f>IF($A550&gt;MIN($A$10,$A$2),"",IF($A550&lt;200,"n.a.",IF(COUNT(INDEX(StockDaily[Adjusted close],MAX(1,$A550-200+1)):E550)=200,AVERAGE(INDEX(StockDaily[Adjusted close],MAX(1,$A550-200+1)):E550),"n.a.")))</f>
        <v/>
      </c>
      <c r="H550" s="136" t="str">
        <f>IF($A550&gt;MIN($A$10,$A$2),"",IF($A$5="","Choose stock",IF(NOT($A$12),"Check split rule",IF(NOT(ISNUMBER(B550)),"Invalid date",IF(OR(B550&lt;=0,B550&lt;&gt;INT(B550)),"Invalid date",IF(COUNTIFS(DemoHistory[Date],B550)&lt;&gt;1,"Duplicate date",IF(AND($A550&gt;1,B550&lt;=B549),"Dates out of order",IF(NOT(ISNUMBER(C550)),"Missing price",IF(C550&lt;=0,"Nonpositive price","OK")))))))))</f>
        <v/>
      </c>
      <c r="I550" s="136"/>
      <c r="J550" s="136"/>
      <c r="K550" s="136"/>
      <c r="L550" s="136"/>
      <c r="M550" s="136"/>
      <c r="N550" s="136" t="e">
        <f t="shared" si="22"/>
        <v>#N/A</v>
      </c>
      <c r="O550" s="136" t="e">
        <f t="shared" si="23"/>
        <v>#N/A</v>
      </c>
    </row>
    <row r="551" spans="1:15" ht="22.05" customHeight="1" x14ac:dyDescent="0.3">
      <c r="A551" s="136">
        <v>507</v>
      </c>
      <c r="B551" s="165" t="str">
        <f>IF($A551&gt;MIN($A$10,$A$2),"",INDEX(DemoHistory[Date],$A551))</f>
        <v/>
      </c>
      <c r="C551" s="166" t="str">
        <f>IF(OR($A551&gt;MIN($A$10,$A$2),$A$5=""),"",INDEX(DemoHistory[],$A551,MATCH($A$5,DemoHistory[#Headers],0)))</f>
        <v/>
      </c>
      <c r="D551" s="166" t="str">
        <f>IF($A551&gt;MIN($A$10,$A$2),"",IF(AND($A$12,$A$6=1,B551&lt;$A$7,$A$7&lt;=MAX(DemoHistory[Date])),$A$8,1))</f>
        <v/>
      </c>
      <c r="E551" s="166" t="str">
        <f t="shared" si="21"/>
        <v/>
      </c>
      <c r="F551" s="166" t="str">
        <f>IF($A551&gt;MIN($A$10,$A$2),"",IF($A551&lt;50,"n.a.",IF(COUNT(INDEX(StockDaily[Adjusted close],MAX(1,$A551-50+1)):E551)=50,AVERAGE(INDEX(StockDaily[Adjusted close],MAX(1,$A551-50+1)):E551),"n.a.")))</f>
        <v/>
      </c>
      <c r="G551" s="166" t="str">
        <f>IF($A551&gt;MIN($A$10,$A$2),"",IF($A551&lt;200,"n.a.",IF(COUNT(INDEX(StockDaily[Adjusted close],MAX(1,$A551-200+1)):E551)=200,AVERAGE(INDEX(StockDaily[Adjusted close],MAX(1,$A551-200+1)):E551),"n.a.")))</f>
        <v/>
      </c>
      <c r="H551" s="136" t="str">
        <f>IF($A551&gt;MIN($A$10,$A$2),"",IF($A$5="","Choose stock",IF(NOT($A$12),"Check split rule",IF(NOT(ISNUMBER(B551)),"Invalid date",IF(OR(B551&lt;=0,B551&lt;&gt;INT(B551)),"Invalid date",IF(COUNTIFS(DemoHistory[Date],B551)&lt;&gt;1,"Duplicate date",IF(AND($A551&gt;1,B551&lt;=B550),"Dates out of order",IF(NOT(ISNUMBER(C551)),"Missing price",IF(C551&lt;=0,"Nonpositive price","OK")))))))))</f>
        <v/>
      </c>
      <c r="I551" s="136"/>
      <c r="J551" s="136"/>
      <c r="K551" s="136"/>
      <c r="L551" s="136"/>
      <c r="M551" s="136"/>
      <c r="N551" s="136" t="e">
        <f t="shared" si="22"/>
        <v>#N/A</v>
      </c>
      <c r="O551" s="136" t="e">
        <f t="shared" si="23"/>
        <v>#N/A</v>
      </c>
    </row>
    <row r="552" spans="1:15" ht="22.05" customHeight="1" x14ac:dyDescent="0.3">
      <c r="A552" s="136">
        <v>508</v>
      </c>
      <c r="B552" s="165" t="str">
        <f>IF($A552&gt;MIN($A$10,$A$2),"",INDEX(DemoHistory[Date],$A552))</f>
        <v/>
      </c>
      <c r="C552" s="166" t="str">
        <f>IF(OR($A552&gt;MIN($A$10,$A$2),$A$5=""),"",INDEX(DemoHistory[],$A552,MATCH($A$5,DemoHistory[#Headers],0)))</f>
        <v/>
      </c>
      <c r="D552" s="166" t="str">
        <f>IF($A552&gt;MIN($A$10,$A$2),"",IF(AND($A$12,$A$6=1,B552&lt;$A$7,$A$7&lt;=MAX(DemoHistory[Date])),$A$8,1))</f>
        <v/>
      </c>
      <c r="E552" s="166" t="str">
        <f t="shared" si="21"/>
        <v/>
      </c>
      <c r="F552" s="166" t="str">
        <f>IF($A552&gt;MIN($A$10,$A$2),"",IF($A552&lt;50,"n.a.",IF(COUNT(INDEX(StockDaily[Adjusted close],MAX(1,$A552-50+1)):E552)=50,AVERAGE(INDEX(StockDaily[Adjusted close],MAX(1,$A552-50+1)):E552),"n.a.")))</f>
        <v/>
      </c>
      <c r="G552" s="166" t="str">
        <f>IF($A552&gt;MIN($A$10,$A$2),"",IF($A552&lt;200,"n.a.",IF(COUNT(INDEX(StockDaily[Adjusted close],MAX(1,$A552-200+1)):E552)=200,AVERAGE(INDEX(StockDaily[Adjusted close],MAX(1,$A552-200+1)):E552),"n.a.")))</f>
        <v/>
      </c>
      <c r="H552" s="136" t="str">
        <f>IF($A552&gt;MIN($A$10,$A$2),"",IF($A$5="","Choose stock",IF(NOT($A$12),"Check split rule",IF(NOT(ISNUMBER(B552)),"Invalid date",IF(OR(B552&lt;=0,B552&lt;&gt;INT(B552)),"Invalid date",IF(COUNTIFS(DemoHistory[Date],B552)&lt;&gt;1,"Duplicate date",IF(AND($A552&gt;1,B552&lt;=B551),"Dates out of order",IF(NOT(ISNUMBER(C552)),"Missing price",IF(C552&lt;=0,"Nonpositive price","OK")))))))))</f>
        <v/>
      </c>
      <c r="I552" s="136"/>
      <c r="J552" s="136"/>
      <c r="K552" s="136"/>
      <c r="L552" s="136"/>
      <c r="M552" s="136"/>
      <c r="N552" s="136" t="e">
        <f t="shared" si="22"/>
        <v>#N/A</v>
      </c>
      <c r="O552" s="136" t="e">
        <f t="shared" si="23"/>
        <v>#N/A</v>
      </c>
    </row>
    <row r="553" spans="1:15" ht="22.05" customHeight="1" x14ac:dyDescent="0.3">
      <c r="A553" s="136">
        <v>509</v>
      </c>
      <c r="B553" s="165" t="str">
        <f>IF($A553&gt;MIN($A$10,$A$2),"",INDEX(DemoHistory[Date],$A553))</f>
        <v/>
      </c>
      <c r="C553" s="166" t="str">
        <f>IF(OR($A553&gt;MIN($A$10,$A$2),$A$5=""),"",INDEX(DemoHistory[],$A553,MATCH($A$5,DemoHistory[#Headers],0)))</f>
        <v/>
      </c>
      <c r="D553" s="166" t="str">
        <f>IF($A553&gt;MIN($A$10,$A$2),"",IF(AND($A$12,$A$6=1,B553&lt;$A$7,$A$7&lt;=MAX(DemoHistory[Date])),$A$8,1))</f>
        <v/>
      </c>
      <c r="E553" s="166" t="str">
        <f t="shared" si="21"/>
        <v/>
      </c>
      <c r="F553" s="166" t="str">
        <f>IF($A553&gt;MIN($A$10,$A$2),"",IF($A553&lt;50,"n.a.",IF(COUNT(INDEX(StockDaily[Adjusted close],MAX(1,$A553-50+1)):E553)=50,AVERAGE(INDEX(StockDaily[Adjusted close],MAX(1,$A553-50+1)):E553),"n.a.")))</f>
        <v/>
      </c>
      <c r="G553" s="166" t="str">
        <f>IF($A553&gt;MIN($A$10,$A$2),"",IF($A553&lt;200,"n.a.",IF(COUNT(INDEX(StockDaily[Adjusted close],MAX(1,$A553-200+1)):E553)=200,AVERAGE(INDEX(StockDaily[Adjusted close],MAX(1,$A553-200+1)):E553),"n.a.")))</f>
        <v/>
      </c>
      <c r="H553" s="136" t="str">
        <f>IF($A553&gt;MIN($A$10,$A$2),"",IF($A$5="","Choose stock",IF(NOT($A$12),"Check split rule",IF(NOT(ISNUMBER(B553)),"Invalid date",IF(OR(B553&lt;=0,B553&lt;&gt;INT(B553)),"Invalid date",IF(COUNTIFS(DemoHistory[Date],B553)&lt;&gt;1,"Duplicate date",IF(AND($A553&gt;1,B553&lt;=B552),"Dates out of order",IF(NOT(ISNUMBER(C553)),"Missing price",IF(C553&lt;=0,"Nonpositive price","OK")))))))))</f>
        <v/>
      </c>
      <c r="I553" s="136"/>
      <c r="J553" s="136"/>
      <c r="K553" s="136"/>
      <c r="L553" s="136"/>
      <c r="M553" s="136"/>
      <c r="N553" s="136" t="e">
        <f t="shared" si="22"/>
        <v>#N/A</v>
      </c>
      <c r="O553" s="136" t="e">
        <f t="shared" si="23"/>
        <v>#N/A</v>
      </c>
    </row>
    <row r="554" spans="1:15" ht="22.05" customHeight="1" x14ac:dyDescent="0.3">
      <c r="A554" s="136">
        <v>510</v>
      </c>
      <c r="B554" s="165" t="str">
        <f>IF($A554&gt;MIN($A$10,$A$2),"",INDEX(DemoHistory[Date],$A554))</f>
        <v/>
      </c>
      <c r="C554" s="166" t="str">
        <f>IF(OR($A554&gt;MIN($A$10,$A$2),$A$5=""),"",INDEX(DemoHistory[],$A554,MATCH($A$5,DemoHistory[#Headers],0)))</f>
        <v/>
      </c>
      <c r="D554" s="166" t="str">
        <f>IF($A554&gt;MIN($A$10,$A$2),"",IF(AND($A$12,$A$6=1,B554&lt;$A$7,$A$7&lt;=MAX(DemoHistory[Date])),$A$8,1))</f>
        <v/>
      </c>
      <c r="E554" s="166" t="str">
        <f t="shared" si="21"/>
        <v/>
      </c>
      <c r="F554" s="166" t="str">
        <f>IF($A554&gt;MIN($A$10,$A$2),"",IF($A554&lt;50,"n.a.",IF(COUNT(INDEX(StockDaily[Adjusted close],MAX(1,$A554-50+1)):E554)=50,AVERAGE(INDEX(StockDaily[Adjusted close],MAX(1,$A554-50+1)):E554),"n.a.")))</f>
        <v/>
      </c>
      <c r="G554" s="166" t="str">
        <f>IF($A554&gt;MIN($A$10,$A$2),"",IF($A554&lt;200,"n.a.",IF(COUNT(INDEX(StockDaily[Adjusted close],MAX(1,$A554-200+1)):E554)=200,AVERAGE(INDEX(StockDaily[Adjusted close],MAX(1,$A554-200+1)):E554),"n.a.")))</f>
        <v/>
      </c>
      <c r="H554" s="136" t="str">
        <f>IF($A554&gt;MIN($A$10,$A$2),"",IF($A$5="","Choose stock",IF(NOT($A$12),"Check split rule",IF(NOT(ISNUMBER(B554)),"Invalid date",IF(OR(B554&lt;=0,B554&lt;&gt;INT(B554)),"Invalid date",IF(COUNTIFS(DemoHistory[Date],B554)&lt;&gt;1,"Duplicate date",IF(AND($A554&gt;1,B554&lt;=B553),"Dates out of order",IF(NOT(ISNUMBER(C554)),"Missing price",IF(C554&lt;=0,"Nonpositive price","OK")))))))))</f>
        <v/>
      </c>
      <c r="I554" s="136"/>
      <c r="J554" s="136"/>
      <c r="K554" s="136"/>
      <c r="L554" s="136"/>
      <c r="M554" s="136"/>
      <c r="N554" s="136" t="e">
        <f t="shared" si="22"/>
        <v>#N/A</v>
      </c>
      <c r="O554" s="136" t="e">
        <f t="shared" si="23"/>
        <v>#N/A</v>
      </c>
    </row>
    <row r="555" spans="1:15" ht="22.05" customHeight="1" x14ac:dyDescent="0.3">
      <c r="A555" s="136">
        <v>511</v>
      </c>
      <c r="B555" s="165" t="str">
        <f>IF($A555&gt;MIN($A$10,$A$2),"",INDEX(DemoHistory[Date],$A555))</f>
        <v/>
      </c>
      <c r="C555" s="166" t="str">
        <f>IF(OR($A555&gt;MIN($A$10,$A$2),$A$5=""),"",INDEX(DemoHistory[],$A555,MATCH($A$5,DemoHistory[#Headers],0)))</f>
        <v/>
      </c>
      <c r="D555" s="166" t="str">
        <f>IF($A555&gt;MIN($A$10,$A$2),"",IF(AND($A$12,$A$6=1,B555&lt;$A$7,$A$7&lt;=MAX(DemoHistory[Date])),$A$8,1))</f>
        <v/>
      </c>
      <c r="E555" s="166" t="str">
        <f t="shared" si="21"/>
        <v/>
      </c>
      <c r="F555" s="166" t="str">
        <f>IF($A555&gt;MIN($A$10,$A$2),"",IF($A555&lt;50,"n.a.",IF(COUNT(INDEX(StockDaily[Adjusted close],MAX(1,$A555-50+1)):E555)=50,AVERAGE(INDEX(StockDaily[Adjusted close],MAX(1,$A555-50+1)):E555),"n.a.")))</f>
        <v/>
      </c>
      <c r="G555" s="166" t="str">
        <f>IF($A555&gt;MIN($A$10,$A$2),"",IF($A555&lt;200,"n.a.",IF(COUNT(INDEX(StockDaily[Adjusted close],MAX(1,$A555-200+1)):E555)=200,AVERAGE(INDEX(StockDaily[Adjusted close],MAX(1,$A555-200+1)):E555),"n.a.")))</f>
        <v/>
      </c>
      <c r="H555" s="136" t="str">
        <f>IF($A555&gt;MIN($A$10,$A$2),"",IF($A$5="","Choose stock",IF(NOT($A$12),"Check split rule",IF(NOT(ISNUMBER(B555)),"Invalid date",IF(OR(B555&lt;=0,B555&lt;&gt;INT(B555)),"Invalid date",IF(COUNTIFS(DemoHistory[Date],B555)&lt;&gt;1,"Duplicate date",IF(AND($A555&gt;1,B555&lt;=B554),"Dates out of order",IF(NOT(ISNUMBER(C555)),"Missing price",IF(C555&lt;=0,"Nonpositive price","OK")))))))))</f>
        <v/>
      </c>
      <c r="I555" s="136"/>
      <c r="J555" s="136"/>
      <c r="K555" s="136"/>
      <c r="L555" s="136"/>
      <c r="M555" s="136"/>
      <c r="N555" s="136" t="e">
        <f t="shared" si="22"/>
        <v>#N/A</v>
      </c>
      <c r="O555" s="136" t="e">
        <f t="shared" si="23"/>
        <v>#N/A</v>
      </c>
    </row>
    <row r="556" spans="1:15" ht="22.05" customHeight="1" x14ac:dyDescent="0.3">
      <c r="A556" s="136">
        <v>512</v>
      </c>
      <c r="B556" s="165" t="str">
        <f>IF($A556&gt;MIN($A$10,$A$2),"",INDEX(DemoHistory[Date],$A556))</f>
        <v/>
      </c>
      <c r="C556" s="166" t="str">
        <f>IF(OR($A556&gt;MIN($A$10,$A$2),$A$5=""),"",INDEX(DemoHistory[],$A556,MATCH($A$5,DemoHistory[#Headers],0)))</f>
        <v/>
      </c>
      <c r="D556" s="166" t="str">
        <f>IF($A556&gt;MIN($A$10,$A$2),"",IF(AND($A$12,$A$6=1,B556&lt;$A$7,$A$7&lt;=MAX(DemoHistory[Date])),$A$8,1))</f>
        <v/>
      </c>
      <c r="E556" s="166" t="str">
        <f t="shared" si="21"/>
        <v/>
      </c>
      <c r="F556" s="166" t="str">
        <f>IF($A556&gt;MIN($A$10,$A$2),"",IF($A556&lt;50,"n.a.",IF(COUNT(INDEX(StockDaily[Adjusted close],MAX(1,$A556-50+1)):E556)=50,AVERAGE(INDEX(StockDaily[Adjusted close],MAX(1,$A556-50+1)):E556),"n.a.")))</f>
        <v/>
      </c>
      <c r="G556" s="166" t="str">
        <f>IF($A556&gt;MIN($A$10,$A$2),"",IF($A556&lt;200,"n.a.",IF(COUNT(INDEX(StockDaily[Adjusted close],MAX(1,$A556-200+1)):E556)=200,AVERAGE(INDEX(StockDaily[Adjusted close],MAX(1,$A556-200+1)):E556),"n.a.")))</f>
        <v/>
      </c>
      <c r="H556" s="136" t="str">
        <f>IF($A556&gt;MIN($A$10,$A$2),"",IF($A$5="","Choose stock",IF(NOT($A$12),"Check split rule",IF(NOT(ISNUMBER(B556)),"Invalid date",IF(OR(B556&lt;=0,B556&lt;&gt;INT(B556)),"Invalid date",IF(COUNTIFS(DemoHistory[Date],B556)&lt;&gt;1,"Duplicate date",IF(AND($A556&gt;1,B556&lt;=B555),"Dates out of order",IF(NOT(ISNUMBER(C556)),"Missing price",IF(C556&lt;=0,"Nonpositive price","OK")))))))))</f>
        <v/>
      </c>
      <c r="I556" s="136"/>
      <c r="J556" s="136"/>
      <c r="K556" s="136"/>
      <c r="L556" s="136"/>
      <c r="M556" s="136"/>
      <c r="N556" s="136" t="e">
        <f t="shared" si="22"/>
        <v>#N/A</v>
      </c>
      <c r="O556" s="136" t="e">
        <f t="shared" si="23"/>
        <v>#N/A</v>
      </c>
    </row>
    <row r="557" spans="1:15" ht="22.05" customHeight="1" x14ac:dyDescent="0.3">
      <c r="A557" s="136">
        <v>513</v>
      </c>
      <c r="B557" s="165" t="str">
        <f>IF($A557&gt;MIN($A$10,$A$2),"",INDEX(DemoHistory[Date],$A557))</f>
        <v/>
      </c>
      <c r="C557" s="166" t="str">
        <f>IF(OR($A557&gt;MIN($A$10,$A$2),$A$5=""),"",INDEX(DemoHistory[],$A557,MATCH($A$5,DemoHistory[#Headers],0)))</f>
        <v/>
      </c>
      <c r="D557" s="166" t="str">
        <f>IF($A557&gt;MIN($A$10,$A$2),"",IF(AND($A$12,$A$6=1,B557&lt;$A$7,$A$7&lt;=MAX(DemoHistory[Date])),$A$8,1))</f>
        <v/>
      </c>
      <c r="E557" s="166" t="str">
        <f t="shared" ref="E557:E620" si="24">IF($A557&gt;MIN($A$10,$A$2),"",IF(H557="OK",C557/D557,"n.a."))</f>
        <v/>
      </c>
      <c r="F557" s="166" t="str">
        <f>IF($A557&gt;MIN($A$10,$A$2),"",IF($A557&lt;50,"n.a.",IF(COUNT(INDEX(StockDaily[Adjusted close],MAX(1,$A557-50+1)):E557)=50,AVERAGE(INDEX(StockDaily[Adjusted close],MAX(1,$A557-50+1)):E557),"n.a.")))</f>
        <v/>
      </c>
      <c r="G557" s="166" t="str">
        <f>IF($A557&gt;MIN($A$10,$A$2),"",IF($A557&lt;200,"n.a.",IF(COUNT(INDEX(StockDaily[Adjusted close],MAX(1,$A557-200+1)):E557)=200,AVERAGE(INDEX(StockDaily[Adjusted close],MAX(1,$A557-200+1)):E557),"n.a.")))</f>
        <v/>
      </c>
      <c r="H557" s="136" t="str">
        <f>IF($A557&gt;MIN($A$10,$A$2),"",IF($A$5="","Choose stock",IF(NOT($A$12),"Check split rule",IF(NOT(ISNUMBER(B557)),"Invalid date",IF(OR(B557&lt;=0,B557&lt;&gt;INT(B557)),"Invalid date",IF(COUNTIFS(DemoHistory[Date],B557)&lt;&gt;1,"Duplicate date",IF(AND($A557&gt;1,B557&lt;=B556),"Dates out of order",IF(NOT(ISNUMBER(C557)),"Missing price",IF(C557&lt;=0,"Nonpositive price","OK")))))))))</f>
        <v/>
      </c>
      <c r="I557" s="136"/>
      <c r="J557" s="136"/>
      <c r="K557" s="136"/>
      <c r="L557" s="136"/>
      <c r="M557" s="136"/>
      <c r="N557" s="136" t="e">
        <f t="shared" ref="N557:N620" si="25">IF(AND($A$13="Ready",ISNUMBER(E557)),E557,NA())</f>
        <v>#N/A</v>
      </c>
      <c r="O557" s="136" t="e">
        <f t="shared" ref="O557:O620" si="26">IF(AND($A$13="Ready",ISNUMBER(F557)),F557,NA())</f>
        <v>#N/A</v>
      </c>
    </row>
    <row r="558" spans="1:15" ht="22.05" customHeight="1" x14ac:dyDescent="0.3">
      <c r="A558" s="136">
        <v>514</v>
      </c>
      <c r="B558" s="165" t="str">
        <f>IF($A558&gt;MIN($A$10,$A$2),"",INDEX(DemoHistory[Date],$A558))</f>
        <v/>
      </c>
      <c r="C558" s="166" t="str">
        <f>IF(OR($A558&gt;MIN($A$10,$A$2),$A$5=""),"",INDEX(DemoHistory[],$A558,MATCH($A$5,DemoHistory[#Headers],0)))</f>
        <v/>
      </c>
      <c r="D558" s="166" t="str">
        <f>IF($A558&gt;MIN($A$10,$A$2),"",IF(AND($A$12,$A$6=1,B558&lt;$A$7,$A$7&lt;=MAX(DemoHistory[Date])),$A$8,1))</f>
        <v/>
      </c>
      <c r="E558" s="166" t="str">
        <f t="shared" si="24"/>
        <v/>
      </c>
      <c r="F558" s="166" t="str">
        <f>IF($A558&gt;MIN($A$10,$A$2),"",IF($A558&lt;50,"n.a.",IF(COUNT(INDEX(StockDaily[Adjusted close],MAX(1,$A558-50+1)):E558)=50,AVERAGE(INDEX(StockDaily[Adjusted close],MAX(1,$A558-50+1)):E558),"n.a.")))</f>
        <v/>
      </c>
      <c r="G558" s="166" t="str">
        <f>IF($A558&gt;MIN($A$10,$A$2),"",IF($A558&lt;200,"n.a.",IF(COUNT(INDEX(StockDaily[Adjusted close],MAX(1,$A558-200+1)):E558)=200,AVERAGE(INDEX(StockDaily[Adjusted close],MAX(1,$A558-200+1)):E558),"n.a.")))</f>
        <v/>
      </c>
      <c r="H558" s="136" t="str">
        <f>IF($A558&gt;MIN($A$10,$A$2),"",IF($A$5="","Choose stock",IF(NOT($A$12),"Check split rule",IF(NOT(ISNUMBER(B558)),"Invalid date",IF(OR(B558&lt;=0,B558&lt;&gt;INT(B558)),"Invalid date",IF(COUNTIFS(DemoHistory[Date],B558)&lt;&gt;1,"Duplicate date",IF(AND($A558&gt;1,B558&lt;=B557),"Dates out of order",IF(NOT(ISNUMBER(C558)),"Missing price",IF(C558&lt;=0,"Nonpositive price","OK")))))))))</f>
        <v/>
      </c>
      <c r="I558" s="136"/>
      <c r="J558" s="136"/>
      <c r="K558" s="136"/>
      <c r="L558" s="136"/>
      <c r="M558" s="136"/>
      <c r="N558" s="136" t="e">
        <f t="shared" si="25"/>
        <v>#N/A</v>
      </c>
      <c r="O558" s="136" t="e">
        <f t="shared" si="26"/>
        <v>#N/A</v>
      </c>
    </row>
    <row r="559" spans="1:15" ht="22.05" customHeight="1" x14ac:dyDescent="0.3">
      <c r="A559" s="136">
        <v>515</v>
      </c>
      <c r="B559" s="165" t="str">
        <f>IF($A559&gt;MIN($A$10,$A$2),"",INDEX(DemoHistory[Date],$A559))</f>
        <v/>
      </c>
      <c r="C559" s="166" t="str">
        <f>IF(OR($A559&gt;MIN($A$10,$A$2),$A$5=""),"",INDEX(DemoHistory[],$A559,MATCH($A$5,DemoHistory[#Headers],0)))</f>
        <v/>
      </c>
      <c r="D559" s="166" t="str">
        <f>IF($A559&gt;MIN($A$10,$A$2),"",IF(AND($A$12,$A$6=1,B559&lt;$A$7,$A$7&lt;=MAX(DemoHistory[Date])),$A$8,1))</f>
        <v/>
      </c>
      <c r="E559" s="166" t="str">
        <f t="shared" si="24"/>
        <v/>
      </c>
      <c r="F559" s="166" t="str">
        <f>IF($A559&gt;MIN($A$10,$A$2),"",IF($A559&lt;50,"n.a.",IF(COUNT(INDEX(StockDaily[Adjusted close],MAX(1,$A559-50+1)):E559)=50,AVERAGE(INDEX(StockDaily[Adjusted close],MAX(1,$A559-50+1)):E559),"n.a.")))</f>
        <v/>
      </c>
      <c r="G559" s="166" t="str">
        <f>IF($A559&gt;MIN($A$10,$A$2),"",IF($A559&lt;200,"n.a.",IF(COUNT(INDEX(StockDaily[Adjusted close],MAX(1,$A559-200+1)):E559)=200,AVERAGE(INDEX(StockDaily[Adjusted close],MAX(1,$A559-200+1)):E559),"n.a.")))</f>
        <v/>
      </c>
      <c r="H559" s="136" t="str">
        <f>IF($A559&gt;MIN($A$10,$A$2),"",IF($A$5="","Choose stock",IF(NOT($A$12),"Check split rule",IF(NOT(ISNUMBER(B559)),"Invalid date",IF(OR(B559&lt;=0,B559&lt;&gt;INT(B559)),"Invalid date",IF(COUNTIFS(DemoHistory[Date],B559)&lt;&gt;1,"Duplicate date",IF(AND($A559&gt;1,B559&lt;=B558),"Dates out of order",IF(NOT(ISNUMBER(C559)),"Missing price",IF(C559&lt;=0,"Nonpositive price","OK")))))))))</f>
        <v/>
      </c>
      <c r="I559" s="136"/>
      <c r="J559" s="136"/>
      <c r="K559" s="136"/>
      <c r="L559" s="136"/>
      <c r="M559" s="136"/>
      <c r="N559" s="136" t="e">
        <f t="shared" si="25"/>
        <v>#N/A</v>
      </c>
      <c r="O559" s="136" t="e">
        <f t="shared" si="26"/>
        <v>#N/A</v>
      </c>
    </row>
    <row r="560" spans="1:15" ht="22.05" customHeight="1" x14ac:dyDescent="0.3">
      <c r="A560" s="136">
        <v>516</v>
      </c>
      <c r="B560" s="165" t="str">
        <f>IF($A560&gt;MIN($A$10,$A$2),"",INDEX(DemoHistory[Date],$A560))</f>
        <v/>
      </c>
      <c r="C560" s="166" t="str">
        <f>IF(OR($A560&gt;MIN($A$10,$A$2),$A$5=""),"",INDEX(DemoHistory[],$A560,MATCH($A$5,DemoHistory[#Headers],0)))</f>
        <v/>
      </c>
      <c r="D560" s="166" t="str">
        <f>IF($A560&gt;MIN($A$10,$A$2),"",IF(AND($A$12,$A$6=1,B560&lt;$A$7,$A$7&lt;=MAX(DemoHistory[Date])),$A$8,1))</f>
        <v/>
      </c>
      <c r="E560" s="166" t="str">
        <f t="shared" si="24"/>
        <v/>
      </c>
      <c r="F560" s="166" t="str">
        <f>IF($A560&gt;MIN($A$10,$A$2),"",IF($A560&lt;50,"n.a.",IF(COUNT(INDEX(StockDaily[Adjusted close],MAX(1,$A560-50+1)):E560)=50,AVERAGE(INDEX(StockDaily[Adjusted close],MAX(1,$A560-50+1)):E560),"n.a.")))</f>
        <v/>
      </c>
      <c r="G560" s="166" t="str">
        <f>IF($A560&gt;MIN($A$10,$A$2),"",IF($A560&lt;200,"n.a.",IF(COUNT(INDEX(StockDaily[Adjusted close],MAX(1,$A560-200+1)):E560)=200,AVERAGE(INDEX(StockDaily[Adjusted close],MAX(1,$A560-200+1)):E560),"n.a.")))</f>
        <v/>
      </c>
      <c r="H560" s="136" t="str">
        <f>IF($A560&gt;MIN($A$10,$A$2),"",IF($A$5="","Choose stock",IF(NOT($A$12),"Check split rule",IF(NOT(ISNUMBER(B560)),"Invalid date",IF(OR(B560&lt;=0,B560&lt;&gt;INT(B560)),"Invalid date",IF(COUNTIFS(DemoHistory[Date],B560)&lt;&gt;1,"Duplicate date",IF(AND($A560&gt;1,B560&lt;=B559),"Dates out of order",IF(NOT(ISNUMBER(C560)),"Missing price",IF(C560&lt;=0,"Nonpositive price","OK")))))))))</f>
        <v/>
      </c>
      <c r="I560" s="136"/>
      <c r="J560" s="136"/>
      <c r="K560" s="136"/>
      <c r="L560" s="136"/>
      <c r="M560" s="136"/>
      <c r="N560" s="136" t="e">
        <f t="shared" si="25"/>
        <v>#N/A</v>
      </c>
      <c r="O560" s="136" t="e">
        <f t="shared" si="26"/>
        <v>#N/A</v>
      </c>
    </row>
    <row r="561" spans="1:15" ht="22.05" customHeight="1" x14ac:dyDescent="0.3">
      <c r="A561" s="136">
        <v>517</v>
      </c>
      <c r="B561" s="165" t="str">
        <f>IF($A561&gt;MIN($A$10,$A$2),"",INDEX(DemoHistory[Date],$A561))</f>
        <v/>
      </c>
      <c r="C561" s="166" t="str">
        <f>IF(OR($A561&gt;MIN($A$10,$A$2),$A$5=""),"",INDEX(DemoHistory[],$A561,MATCH($A$5,DemoHistory[#Headers],0)))</f>
        <v/>
      </c>
      <c r="D561" s="166" t="str">
        <f>IF($A561&gt;MIN($A$10,$A$2),"",IF(AND($A$12,$A$6=1,B561&lt;$A$7,$A$7&lt;=MAX(DemoHistory[Date])),$A$8,1))</f>
        <v/>
      </c>
      <c r="E561" s="166" t="str">
        <f t="shared" si="24"/>
        <v/>
      </c>
      <c r="F561" s="166" t="str">
        <f>IF($A561&gt;MIN($A$10,$A$2),"",IF($A561&lt;50,"n.a.",IF(COUNT(INDEX(StockDaily[Adjusted close],MAX(1,$A561-50+1)):E561)=50,AVERAGE(INDEX(StockDaily[Adjusted close],MAX(1,$A561-50+1)):E561),"n.a.")))</f>
        <v/>
      </c>
      <c r="G561" s="166" t="str">
        <f>IF($A561&gt;MIN($A$10,$A$2),"",IF($A561&lt;200,"n.a.",IF(COUNT(INDEX(StockDaily[Adjusted close],MAX(1,$A561-200+1)):E561)=200,AVERAGE(INDEX(StockDaily[Adjusted close],MAX(1,$A561-200+1)):E561),"n.a.")))</f>
        <v/>
      </c>
      <c r="H561" s="136" t="str">
        <f>IF($A561&gt;MIN($A$10,$A$2),"",IF($A$5="","Choose stock",IF(NOT($A$12),"Check split rule",IF(NOT(ISNUMBER(B561)),"Invalid date",IF(OR(B561&lt;=0,B561&lt;&gt;INT(B561)),"Invalid date",IF(COUNTIFS(DemoHistory[Date],B561)&lt;&gt;1,"Duplicate date",IF(AND($A561&gt;1,B561&lt;=B560),"Dates out of order",IF(NOT(ISNUMBER(C561)),"Missing price",IF(C561&lt;=0,"Nonpositive price","OK")))))))))</f>
        <v/>
      </c>
      <c r="I561" s="136"/>
      <c r="J561" s="136"/>
      <c r="K561" s="136"/>
      <c r="L561" s="136"/>
      <c r="M561" s="136"/>
      <c r="N561" s="136" t="e">
        <f t="shared" si="25"/>
        <v>#N/A</v>
      </c>
      <c r="O561" s="136" t="e">
        <f t="shared" si="26"/>
        <v>#N/A</v>
      </c>
    </row>
    <row r="562" spans="1:15" ht="22.05" customHeight="1" x14ac:dyDescent="0.3">
      <c r="A562" s="136">
        <v>518</v>
      </c>
      <c r="B562" s="165" t="str">
        <f>IF($A562&gt;MIN($A$10,$A$2),"",INDEX(DemoHistory[Date],$A562))</f>
        <v/>
      </c>
      <c r="C562" s="166" t="str">
        <f>IF(OR($A562&gt;MIN($A$10,$A$2),$A$5=""),"",INDEX(DemoHistory[],$A562,MATCH($A$5,DemoHistory[#Headers],0)))</f>
        <v/>
      </c>
      <c r="D562" s="166" t="str">
        <f>IF($A562&gt;MIN($A$10,$A$2),"",IF(AND($A$12,$A$6=1,B562&lt;$A$7,$A$7&lt;=MAX(DemoHistory[Date])),$A$8,1))</f>
        <v/>
      </c>
      <c r="E562" s="166" t="str">
        <f t="shared" si="24"/>
        <v/>
      </c>
      <c r="F562" s="166" t="str">
        <f>IF($A562&gt;MIN($A$10,$A$2),"",IF($A562&lt;50,"n.a.",IF(COUNT(INDEX(StockDaily[Adjusted close],MAX(1,$A562-50+1)):E562)=50,AVERAGE(INDEX(StockDaily[Adjusted close],MAX(1,$A562-50+1)):E562),"n.a.")))</f>
        <v/>
      </c>
      <c r="G562" s="166" t="str">
        <f>IF($A562&gt;MIN($A$10,$A$2),"",IF($A562&lt;200,"n.a.",IF(COUNT(INDEX(StockDaily[Adjusted close],MAX(1,$A562-200+1)):E562)=200,AVERAGE(INDEX(StockDaily[Adjusted close],MAX(1,$A562-200+1)):E562),"n.a.")))</f>
        <v/>
      </c>
      <c r="H562" s="136" t="str">
        <f>IF($A562&gt;MIN($A$10,$A$2),"",IF($A$5="","Choose stock",IF(NOT($A$12),"Check split rule",IF(NOT(ISNUMBER(B562)),"Invalid date",IF(OR(B562&lt;=0,B562&lt;&gt;INT(B562)),"Invalid date",IF(COUNTIFS(DemoHistory[Date],B562)&lt;&gt;1,"Duplicate date",IF(AND($A562&gt;1,B562&lt;=B561),"Dates out of order",IF(NOT(ISNUMBER(C562)),"Missing price",IF(C562&lt;=0,"Nonpositive price","OK")))))))))</f>
        <v/>
      </c>
      <c r="I562" s="136"/>
      <c r="J562" s="136"/>
      <c r="K562" s="136"/>
      <c r="L562" s="136"/>
      <c r="M562" s="136"/>
      <c r="N562" s="136" t="e">
        <f t="shared" si="25"/>
        <v>#N/A</v>
      </c>
      <c r="O562" s="136" t="e">
        <f t="shared" si="26"/>
        <v>#N/A</v>
      </c>
    </row>
    <row r="563" spans="1:15" ht="22.05" customHeight="1" x14ac:dyDescent="0.3">
      <c r="A563" s="136">
        <v>519</v>
      </c>
      <c r="B563" s="165" t="str">
        <f>IF($A563&gt;MIN($A$10,$A$2),"",INDEX(DemoHistory[Date],$A563))</f>
        <v/>
      </c>
      <c r="C563" s="166" t="str">
        <f>IF(OR($A563&gt;MIN($A$10,$A$2),$A$5=""),"",INDEX(DemoHistory[],$A563,MATCH($A$5,DemoHistory[#Headers],0)))</f>
        <v/>
      </c>
      <c r="D563" s="166" t="str">
        <f>IF($A563&gt;MIN($A$10,$A$2),"",IF(AND($A$12,$A$6=1,B563&lt;$A$7,$A$7&lt;=MAX(DemoHistory[Date])),$A$8,1))</f>
        <v/>
      </c>
      <c r="E563" s="166" t="str">
        <f t="shared" si="24"/>
        <v/>
      </c>
      <c r="F563" s="166" t="str">
        <f>IF($A563&gt;MIN($A$10,$A$2),"",IF($A563&lt;50,"n.a.",IF(COUNT(INDEX(StockDaily[Adjusted close],MAX(1,$A563-50+1)):E563)=50,AVERAGE(INDEX(StockDaily[Adjusted close],MAX(1,$A563-50+1)):E563),"n.a.")))</f>
        <v/>
      </c>
      <c r="G563" s="166" t="str">
        <f>IF($A563&gt;MIN($A$10,$A$2),"",IF($A563&lt;200,"n.a.",IF(COUNT(INDEX(StockDaily[Adjusted close],MAX(1,$A563-200+1)):E563)=200,AVERAGE(INDEX(StockDaily[Adjusted close],MAX(1,$A563-200+1)):E563),"n.a.")))</f>
        <v/>
      </c>
      <c r="H563" s="136" t="str">
        <f>IF($A563&gt;MIN($A$10,$A$2),"",IF($A$5="","Choose stock",IF(NOT($A$12),"Check split rule",IF(NOT(ISNUMBER(B563)),"Invalid date",IF(OR(B563&lt;=0,B563&lt;&gt;INT(B563)),"Invalid date",IF(COUNTIFS(DemoHistory[Date],B563)&lt;&gt;1,"Duplicate date",IF(AND($A563&gt;1,B563&lt;=B562),"Dates out of order",IF(NOT(ISNUMBER(C563)),"Missing price",IF(C563&lt;=0,"Nonpositive price","OK")))))))))</f>
        <v/>
      </c>
      <c r="I563" s="136"/>
      <c r="J563" s="136"/>
      <c r="K563" s="136"/>
      <c r="L563" s="136"/>
      <c r="M563" s="136"/>
      <c r="N563" s="136" t="e">
        <f t="shared" si="25"/>
        <v>#N/A</v>
      </c>
      <c r="O563" s="136" t="e">
        <f t="shared" si="26"/>
        <v>#N/A</v>
      </c>
    </row>
    <row r="564" spans="1:15" ht="22.05" customHeight="1" x14ac:dyDescent="0.3">
      <c r="A564" s="136">
        <v>520</v>
      </c>
      <c r="B564" s="165" t="str">
        <f>IF($A564&gt;MIN($A$10,$A$2),"",INDEX(DemoHistory[Date],$A564))</f>
        <v/>
      </c>
      <c r="C564" s="166" t="str">
        <f>IF(OR($A564&gt;MIN($A$10,$A$2),$A$5=""),"",INDEX(DemoHistory[],$A564,MATCH($A$5,DemoHistory[#Headers],0)))</f>
        <v/>
      </c>
      <c r="D564" s="166" t="str">
        <f>IF($A564&gt;MIN($A$10,$A$2),"",IF(AND($A$12,$A$6=1,B564&lt;$A$7,$A$7&lt;=MAX(DemoHistory[Date])),$A$8,1))</f>
        <v/>
      </c>
      <c r="E564" s="166" t="str">
        <f t="shared" si="24"/>
        <v/>
      </c>
      <c r="F564" s="166" t="str">
        <f>IF($A564&gt;MIN($A$10,$A$2),"",IF($A564&lt;50,"n.a.",IF(COUNT(INDEX(StockDaily[Adjusted close],MAX(1,$A564-50+1)):E564)=50,AVERAGE(INDEX(StockDaily[Adjusted close],MAX(1,$A564-50+1)):E564),"n.a.")))</f>
        <v/>
      </c>
      <c r="G564" s="166" t="str">
        <f>IF($A564&gt;MIN($A$10,$A$2),"",IF($A564&lt;200,"n.a.",IF(COUNT(INDEX(StockDaily[Adjusted close],MAX(1,$A564-200+1)):E564)=200,AVERAGE(INDEX(StockDaily[Adjusted close],MAX(1,$A564-200+1)):E564),"n.a.")))</f>
        <v/>
      </c>
      <c r="H564" s="136" t="str">
        <f>IF($A564&gt;MIN($A$10,$A$2),"",IF($A$5="","Choose stock",IF(NOT($A$12),"Check split rule",IF(NOT(ISNUMBER(B564)),"Invalid date",IF(OR(B564&lt;=0,B564&lt;&gt;INT(B564)),"Invalid date",IF(COUNTIFS(DemoHistory[Date],B564)&lt;&gt;1,"Duplicate date",IF(AND($A564&gt;1,B564&lt;=B563),"Dates out of order",IF(NOT(ISNUMBER(C564)),"Missing price",IF(C564&lt;=0,"Nonpositive price","OK")))))))))</f>
        <v/>
      </c>
      <c r="I564" s="136"/>
      <c r="J564" s="136"/>
      <c r="K564" s="136"/>
      <c r="L564" s="136"/>
      <c r="M564" s="136"/>
      <c r="N564" s="136" t="e">
        <f t="shared" si="25"/>
        <v>#N/A</v>
      </c>
      <c r="O564" s="136" t="e">
        <f t="shared" si="26"/>
        <v>#N/A</v>
      </c>
    </row>
    <row r="565" spans="1:15" ht="22.05" customHeight="1" x14ac:dyDescent="0.3">
      <c r="A565" s="136">
        <v>521</v>
      </c>
      <c r="B565" s="165" t="str">
        <f>IF($A565&gt;MIN($A$10,$A$2),"",INDEX(DemoHistory[Date],$A565))</f>
        <v/>
      </c>
      <c r="C565" s="166" t="str">
        <f>IF(OR($A565&gt;MIN($A$10,$A$2),$A$5=""),"",INDEX(DemoHistory[],$A565,MATCH($A$5,DemoHistory[#Headers],0)))</f>
        <v/>
      </c>
      <c r="D565" s="166" t="str">
        <f>IF($A565&gt;MIN($A$10,$A$2),"",IF(AND($A$12,$A$6=1,B565&lt;$A$7,$A$7&lt;=MAX(DemoHistory[Date])),$A$8,1))</f>
        <v/>
      </c>
      <c r="E565" s="166" t="str">
        <f t="shared" si="24"/>
        <v/>
      </c>
      <c r="F565" s="166" t="str">
        <f>IF($A565&gt;MIN($A$10,$A$2),"",IF($A565&lt;50,"n.a.",IF(COUNT(INDEX(StockDaily[Adjusted close],MAX(1,$A565-50+1)):E565)=50,AVERAGE(INDEX(StockDaily[Adjusted close],MAX(1,$A565-50+1)):E565),"n.a.")))</f>
        <v/>
      </c>
      <c r="G565" s="166" t="str">
        <f>IF($A565&gt;MIN($A$10,$A$2),"",IF($A565&lt;200,"n.a.",IF(COUNT(INDEX(StockDaily[Adjusted close],MAX(1,$A565-200+1)):E565)=200,AVERAGE(INDEX(StockDaily[Adjusted close],MAX(1,$A565-200+1)):E565),"n.a.")))</f>
        <v/>
      </c>
      <c r="H565" s="136" t="str">
        <f>IF($A565&gt;MIN($A$10,$A$2),"",IF($A$5="","Choose stock",IF(NOT($A$12),"Check split rule",IF(NOT(ISNUMBER(B565)),"Invalid date",IF(OR(B565&lt;=0,B565&lt;&gt;INT(B565)),"Invalid date",IF(COUNTIFS(DemoHistory[Date],B565)&lt;&gt;1,"Duplicate date",IF(AND($A565&gt;1,B565&lt;=B564),"Dates out of order",IF(NOT(ISNUMBER(C565)),"Missing price",IF(C565&lt;=0,"Nonpositive price","OK")))))))))</f>
        <v/>
      </c>
      <c r="I565" s="136"/>
      <c r="J565" s="136"/>
      <c r="K565" s="136"/>
      <c r="L565" s="136"/>
      <c r="M565" s="136"/>
      <c r="N565" s="136" t="e">
        <f t="shared" si="25"/>
        <v>#N/A</v>
      </c>
      <c r="O565" s="136" t="e">
        <f t="shared" si="26"/>
        <v>#N/A</v>
      </c>
    </row>
    <row r="566" spans="1:15" ht="22.05" customHeight="1" x14ac:dyDescent="0.3">
      <c r="A566" s="136">
        <v>522</v>
      </c>
      <c r="B566" s="165" t="str">
        <f>IF($A566&gt;MIN($A$10,$A$2),"",INDEX(DemoHistory[Date],$A566))</f>
        <v/>
      </c>
      <c r="C566" s="166" t="str">
        <f>IF(OR($A566&gt;MIN($A$10,$A$2),$A$5=""),"",INDEX(DemoHistory[],$A566,MATCH($A$5,DemoHistory[#Headers],0)))</f>
        <v/>
      </c>
      <c r="D566" s="166" t="str">
        <f>IF($A566&gt;MIN($A$10,$A$2),"",IF(AND($A$12,$A$6=1,B566&lt;$A$7,$A$7&lt;=MAX(DemoHistory[Date])),$A$8,1))</f>
        <v/>
      </c>
      <c r="E566" s="166" t="str">
        <f t="shared" si="24"/>
        <v/>
      </c>
      <c r="F566" s="166" t="str">
        <f>IF($A566&gt;MIN($A$10,$A$2),"",IF($A566&lt;50,"n.a.",IF(COUNT(INDEX(StockDaily[Adjusted close],MAX(1,$A566-50+1)):E566)=50,AVERAGE(INDEX(StockDaily[Adjusted close],MAX(1,$A566-50+1)):E566),"n.a.")))</f>
        <v/>
      </c>
      <c r="G566" s="166" t="str">
        <f>IF($A566&gt;MIN($A$10,$A$2),"",IF($A566&lt;200,"n.a.",IF(COUNT(INDEX(StockDaily[Adjusted close],MAX(1,$A566-200+1)):E566)=200,AVERAGE(INDEX(StockDaily[Adjusted close],MAX(1,$A566-200+1)):E566),"n.a.")))</f>
        <v/>
      </c>
      <c r="H566" s="136" t="str">
        <f>IF($A566&gt;MIN($A$10,$A$2),"",IF($A$5="","Choose stock",IF(NOT($A$12),"Check split rule",IF(NOT(ISNUMBER(B566)),"Invalid date",IF(OR(B566&lt;=0,B566&lt;&gt;INT(B566)),"Invalid date",IF(COUNTIFS(DemoHistory[Date],B566)&lt;&gt;1,"Duplicate date",IF(AND($A566&gt;1,B566&lt;=B565),"Dates out of order",IF(NOT(ISNUMBER(C566)),"Missing price",IF(C566&lt;=0,"Nonpositive price","OK")))))))))</f>
        <v/>
      </c>
      <c r="I566" s="136"/>
      <c r="J566" s="136"/>
      <c r="K566" s="136"/>
      <c r="L566" s="136"/>
      <c r="M566" s="136"/>
      <c r="N566" s="136" t="e">
        <f t="shared" si="25"/>
        <v>#N/A</v>
      </c>
      <c r="O566" s="136" t="e">
        <f t="shared" si="26"/>
        <v>#N/A</v>
      </c>
    </row>
    <row r="567" spans="1:15" ht="22.05" customHeight="1" x14ac:dyDescent="0.3">
      <c r="A567" s="136">
        <v>523</v>
      </c>
      <c r="B567" s="165" t="str">
        <f>IF($A567&gt;MIN($A$10,$A$2),"",INDEX(DemoHistory[Date],$A567))</f>
        <v/>
      </c>
      <c r="C567" s="166" t="str">
        <f>IF(OR($A567&gt;MIN($A$10,$A$2),$A$5=""),"",INDEX(DemoHistory[],$A567,MATCH($A$5,DemoHistory[#Headers],0)))</f>
        <v/>
      </c>
      <c r="D567" s="166" t="str">
        <f>IF($A567&gt;MIN($A$10,$A$2),"",IF(AND($A$12,$A$6=1,B567&lt;$A$7,$A$7&lt;=MAX(DemoHistory[Date])),$A$8,1))</f>
        <v/>
      </c>
      <c r="E567" s="166" t="str">
        <f t="shared" si="24"/>
        <v/>
      </c>
      <c r="F567" s="166" t="str">
        <f>IF($A567&gt;MIN($A$10,$A$2),"",IF($A567&lt;50,"n.a.",IF(COUNT(INDEX(StockDaily[Adjusted close],MAX(1,$A567-50+1)):E567)=50,AVERAGE(INDEX(StockDaily[Adjusted close],MAX(1,$A567-50+1)):E567),"n.a.")))</f>
        <v/>
      </c>
      <c r="G567" s="166" t="str">
        <f>IF($A567&gt;MIN($A$10,$A$2),"",IF($A567&lt;200,"n.a.",IF(COUNT(INDEX(StockDaily[Adjusted close],MAX(1,$A567-200+1)):E567)=200,AVERAGE(INDEX(StockDaily[Adjusted close],MAX(1,$A567-200+1)):E567),"n.a.")))</f>
        <v/>
      </c>
      <c r="H567" s="136" t="str">
        <f>IF($A567&gt;MIN($A$10,$A$2),"",IF($A$5="","Choose stock",IF(NOT($A$12),"Check split rule",IF(NOT(ISNUMBER(B567)),"Invalid date",IF(OR(B567&lt;=0,B567&lt;&gt;INT(B567)),"Invalid date",IF(COUNTIFS(DemoHistory[Date],B567)&lt;&gt;1,"Duplicate date",IF(AND($A567&gt;1,B567&lt;=B566),"Dates out of order",IF(NOT(ISNUMBER(C567)),"Missing price",IF(C567&lt;=0,"Nonpositive price","OK")))))))))</f>
        <v/>
      </c>
      <c r="I567" s="136"/>
      <c r="J567" s="136"/>
      <c r="K567" s="136"/>
      <c r="L567" s="136"/>
      <c r="M567" s="136"/>
      <c r="N567" s="136" t="e">
        <f t="shared" si="25"/>
        <v>#N/A</v>
      </c>
      <c r="O567" s="136" t="e">
        <f t="shared" si="26"/>
        <v>#N/A</v>
      </c>
    </row>
    <row r="568" spans="1:15" ht="22.05" customHeight="1" x14ac:dyDescent="0.3">
      <c r="A568" s="136">
        <v>524</v>
      </c>
      <c r="B568" s="165" t="str">
        <f>IF($A568&gt;MIN($A$10,$A$2),"",INDEX(DemoHistory[Date],$A568))</f>
        <v/>
      </c>
      <c r="C568" s="166" t="str">
        <f>IF(OR($A568&gt;MIN($A$10,$A$2),$A$5=""),"",INDEX(DemoHistory[],$A568,MATCH($A$5,DemoHistory[#Headers],0)))</f>
        <v/>
      </c>
      <c r="D568" s="166" t="str">
        <f>IF($A568&gt;MIN($A$10,$A$2),"",IF(AND($A$12,$A$6=1,B568&lt;$A$7,$A$7&lt;=MAX(DemoHistory[Date])),$A$8,1))</f>
        <v/>
      </c>
      <c r="E568" s="166" t="str">
        <f t="shared" si="24"/>
        <v/>
      </c>
      <c r="F568" s="166" t="str">
        <f>IF($A568&gt;MIN($A$10,$A$2),"",IF($A568&lt;50,"n.a.",IF(COUNT(INDEX(StockDaily[Adjusted close],MAX(1,$A568-50+1)):E568)=50,AVERAGE(INDEX(StockDaily[Adjusted close],MAX(1,$A568-50+1)):E568),"n.a.")))</f>
        <v/>
      </c>
      <c r="G568" s="166" t="str">
        <f>IF($A568&gt;MIN($A$10,$A$2),"",IF($A568&lt;200,"n.a.",IF(COUNT(INDEX(StockDaily[Adjusted close],MAX(1,$A568-200+1)):E568)=200,AVERAGE(INDEX(StockDaily[Adjusted close],MAX(1,$A568-200+1)):E568),"n.a.")))</f>
        <v/>
      </c>
      <c r="H568" s="136" t="str">
        <f>IF($A568&gt;MIN($A$10,$A$2),"",IF($A$5="","Choose stock",IF(NOT($A$12),"Check split rule",IF(NOT(ISNUMBER(B568)),"Invalid date",IF(OR(B568&lt;=0,B568&lt;&gt;INT(B568)),"Invalid date",IF(COUNTIFS(DemoHistory[Date],B568)&lt;&gt;1,"Duplicate date",IF(AND($A568&gt;1,B568&lt;=B567),"Dates out of order",IF(NOT(ISNUMBER(C568)),"Missing price",IF(C568&lt;=0,"Nonpositive price","OK")))))))))</f>
        <v/>
      </c>
      <c r="I568" s="136"/>
      <c r="J568" s="136"/>
      <c r="K568" s="136"/>
      <c r="L568" s="136"/>
      <c r="M568" s="136"/>
      <c r="N568" s="136" t="e">
        <f t="shared" si="25"/>
        <v>#N/A</v>
      </c>
      <c r="O568" s="136" t="e">
        <f t="shared" si="26"/>
        <v>#N/A</v>
      </c>
    </row>
    <row r="569" spans="1:15" ht="22.05" customHeight="1" x14ac:dyDescent="0.3">
      <c r="A569" s="136">
        <v>525</v>
      </c>
      <c r="B569" s="165" t="str">
        <f>IF($A569&gt;MIN($A$10,$A$2),"",INDEX(DemoHistory[Date],$A569))</f>
        <v/>
      </c>
      <c r="C569" s="166" t="str">
        <f>IF(OR($A569&gt;MIN($A$10,$A$2),$A$5=""),"",INDEX(DemoHistory[],$A569,MATCH($A$5,DemoHistory[#Headers],0)))</f>
        <v/>
      </c>
      <c r="D569" s="166" t="str">
        <f>IF($A569&gt;MIN($A$10,$A$2),"",IF(AND($A$12,$A$6=1,B569&lt;$A$7,$A$7&lt;=MAX(DemoHistory[Date])),$A$8,1))</f>
        <v/>
      </c>
      <c r="E569" s="166" t="str">
        <f t="shared" si="24"/>
        <v/>
      </c>
      <c r="F569" s="166" t="str">
        <f>IF($A569&gt;MIN($A$10,$A$2),"",IF($A569&lt;50,"n.a.",IF(COUNT(INDEX(StockDaily[Adjusted close],MAX(1,$A569-50+1)):E569)=50,AVERAGE(INDEX(StockDaily[Adjusted close],MAX(1,$A569-50+1)):E569),"n.a.")))</f>
        <v/>
      </c>
      <c r="G569" s="166" t="str">
        <f>IF($A569&gt;MIN($A$10,$A$2),"",IF($A569&lt;200,"n.a.",IF(COUNT(INDEX(StockDaily[Adjusted close],MAX(1,$A569-200+1)):E569)=200,AVERAGE(INDEX(StockDaily[Adjusted close],MAX(1,$A569-200+1)):E569),"n.a.")))</f>
        <v/>
      </c>
      <c r="H569" s="136" t="str">
        <f>IF($A569&gt;MIN($A$10,$A$2),"",IF($A$5="","Choose stock",IF(NOT($A$12),"Check split rule",IF(NOT(ISNUMBER(B569)),"Invalid date",IF(OR(B569&lt;=0,B569&lt;&gt;INT(B569)),"Invalid date",IF(COUNTIFS(DemoHistory[Date],B569)&lt;&gt;1,"Duplicate date",IF(AND($A569&gt;1,B569&lt;=B568),"Dates out of order",IF(NOT(ISNUMBER(C569)),"Missing price",IF(C569&lt;=0,"Nonpositive price","OK")))))))))</f>
        <v/>
      </c>
      <c r="I569" s="136"/>
      <c r="J569" s="136"/>
      <c r="K569" s="136"/>
      <c r="L569" s="136"/>
      <c r="M569" s="136"/>
      <c r="N569" s="136" t="e">
        <f t="shared" si="25"/>
        <v>#N/A</v>
      </c>
      <c r="O569" s="136" t="e">
        <f t="shared" si="26"/>
        <v>#N/A</v>
      </c>
    </row>
    <row r="570" spans="1:15" ht="22.05" customHeight="1" x14ac:dyDescent="0.3">
      <c r="A570" s="136">
        <v>526</v>
      </c>
      <c r="B570" s="165" t="str">
        <f>IF($A570&gt;MIN($A$10,$A$2),"",INDEX(DemoHistory[Date],$A570))</f>
        <v/>
      </c>
      <c r="C570" s="166" t="str">
        <f>IF(OR($A570&gt;MIN($A$10,$A$2),$A$5=""),"",INDEX(DemoHistory[],$A570,MATCH($A$5,DemoHistory[#Headers],0)))</f>
        <v/>
      </c>
      <c r="D570" s="166" t="str">
        <f>IF($A570&gt;MIN($A$10,$A$2),"",IF(AND($A$12,$A$6=1,B570&lt;$A$7,$A$7&lt;=MAX(DemoHistory[Date])),$A$8,1))</f>
        <v/>
      </c>
      <c r="E570" s="166" t="str">
        <f t="shared" si="24"/>
        <v/>
      </c>
      <c r="F570" s="166" t="str">
        <f>IF($A570&gt;MIN($A$10,$A$2),"",IF($A570&lt;50,"n.a.",IF(COUNT(INDEX(StockDaily[Adjusted close],MAX(1,$A570-50+1)):E570)=50,AVERAGE(INDEX(StockDaily[Adjusted close],MAX(1,$A570-50+1)):E570),"n.a.")))</f>
        <v/>
      </c>
      <c r="G570" s="166" t="str">
        <f>IF($A570&gt;MIN($A$10,$A$2),"",IF($A570&lt;200,"n.a.",IF(COUNT(INDEX(StockDaily[Adjusted close],MAX(1,$A570-200+1)):E570)=200,AVERAGE(INDEX(StockDaily[Adjusted close],MAX(1,$A570-200+1)):E570),"n.a.")))</f>
        <v/>
      </c>
      <c r="H570" s="136" t="str">
        <f>IF($A570&gt;MIN($A$10,$A$2),"",IF($A$5="","Choose stock",IF(NOT($A$12),"Check split rule",IF(NOT(ISNUMBER(B570)),"Invalid date",IF(OR(B570&lt;=0,B570&lt;&gt;INT(B570)),"Invalid date",IF(COUNTIFS(DemoHistory[Date],B570)&lt;&gt;1,"Duplicate date",IF(AND($A570&gt;1,B570&lt;=B569),"Dates out of order",IF(NOT(ISNUMBER(C570)),"Missing price",IF(C570&lt;=0,"Nonpositive price","OK")))))))))</f>
        <v/>
      </c>
      <c r="I570" s="136"/>
      <c r="J570" s="136"/>
      <c r="K570" s="136"/>
      <c r="L570" s="136"/>
      <c r="M570" s="136"/>
      <c r="N570" s="136" t="e">
        <f t="shared" si="25"/>
        <v>#N/A</v>
      </c>
      <c r="O570" s="136" t="e">
        <f t="shared" si="26"/>
        <v>#N/A</v>
      </c>
    </row>
    <row r="571" spans="1:15" ht="22.05" customHeight="1" x14ac:dyDescent="0.3">
      <c r="A571" s="136">
        <v>527</v>
      </c>
      <c r="B571" s="165" t="str">
        <f>IF($A571&gt;MIN($A$10,$A$2),"",INDEX(DemoHistory[Date],$A571))</f>
        <v/>
      </c>
      <c r="C571" s="166" t="str">
        <f>IF(OR($A571&gt;MIN($A$10,$A$2),$A$5=""),"",INDEX(DemoHistory[],$A571,MATCH($A$5,DemoHistory[#Headers],0)))</f>
        <v/>
      </c>
      <c r="D571" s="166" t="str">
        <f>IF($A571&gt;MIN($A$10,$A$2),"",IF(AND($A$12,$A$6=1,B571&lt;$A$7,$A$7&lt;=MAX(DemoHistory[Date])),$A$8,1))</f>
        <v/>
      </c>
      <c r="E571" s="166" t="str">
        <f t="shared" si="24"/>
        <v/>
      </c>
      <c r="F571" s="166" t="str">
        <f>IF($A571&gt;MIN($A$10,$A$2),"",IF($A571&lt;50,"n.a.",IF(COUNT(INDEX(StockDaily[Adjusted close],MAX(1,$A571-50+1)):E571)=50,AVERAGE(INDEX(StockDaily[Adjusted close],MAX(1,$A571-50+1)):E571),"n.a.")))</f>
        <v/>
      </c>
      <c r="G571" s="166" t="str">
        <f>IF($A571&gt;MIN($A$10,$A$2),"",IF($A571&lt;200,"n.a.",IF(COUNT(INDEX(StockDaily[Adjusted close],MAX(1,$A571-200+1)):E571)=200,AVERAGE(INDEX(StockDaily[Adjusted close],MAX(1,$A571-200+1)):E571),"n.a.")))</f>
        <v/>
      </c>
      <c r="H571" s="136" t="str">
        <f>IF($A571&gt;MIN($A$10,$A$2),"",IF($A$5="","Choose stock",IF(NOT($A$12),"Check split rule",IF(NOT(ISNUMBER(B571)),"Invalid date",IF(OR(B571&lt;=0,B571&lt;&gt;INT(B571)),"Invalid date",IF(COUNTIFS(DemoHistory[Date],B571)&lt;&gt;1,"Duplicate date",IF(AND($A571&gt;1,B571&lt;=B570),"Dates out of order",IF(NOT(ISNUMBER(C571)),"Missing price",IF(C571&lt;=0,"Nonpositive price","OK")))))))))</f>
        <v/>
      </c>
      <c r="I571" s="136"/>
      <c r="J571" s="136"/>
      <c r="K571" s="136"/>
      <c r="L571" s="136"/>
      <c r="M571" s="136"/>
      <c r="N571" s="136" t="e">
        <f t="shared" si="25"/>
        <v>#N/A</v>
      </c>
      <c r="O571" s="136" t="e">
        <f t="shared" si="26"/>
        <v>#N/A</v>
      </c>
    </row>
    <row r="572" spans="1:15" ht="22.05" customHeight="1" x14ac:dyDescent="0.3">
      <c r="A572" s="136">
        <v>528</v>
      </c>
      <c r="B572" s="165" t="str">
        <f>IF($A572&gt;MIN($A$10,$A$2),"",INDEX(DemoHistory[Date],$A572))</f>
        <v/>
      </c>
      <c r="C572" s="166" t="str">
        <f>IF(OR($A572&gt;MIN($A$10,$A$2),$A$5=""),"",INDEX(DemoHistory[],$A572,MATCH($A$5,DemoHistory[#Headers],0)))</f>
        <v/>
      </c>
      <c r="D572" s="166" t="str">
        <f>IF($A572&gt;MIN($A$10,$A$2),"",IF(AND($A$12,$A$6=1,B572&lt;$A$7,$A$7&lt;=MAX(DemoHistory[Date])),$A$8,1))</f>
        <v/>
      </c>
      <c r="E572" s="166" t="str">
        <f t="shared" si="24"/>
        <v/>
      </c>
      <c r="F572" s="166" t="str">
        <f>IF($A572&gt;MIN($A$10,$A$2),"",IF($A572&lt;50,"n.a.",IF(COUNT(INDEX(StockDaily[Adjusted close],MAX(1,$A572-50+1)):E572)=50,AVERAGE(INDEX(StockDaily[Adjusted close],MAX(1,$A572-50+1)):E572),"n.a.")))</f>
        <v/>
      </c>
      <c r="G572" s="166" t="str">
        <f>IF($A572&gt;MIN($A$10,$A$2),"",IF($A572&lt;200,"n.a.",IF(COUNT(INDEX(StockDaily[Adjusted close],MAX(1,$A572-200+1)):E572)=200,AVERAGE(INDEX(StockDaily[Adjusted close],MAX(1,$A572-200+1)):E572),"n.a.")))</f>
        <v/>
      </c>
      <c r="H572" s="136" t="str">
        <f>IF($A572&gt;MIN($A$10,$A$2),"",IF($A$5="","Choose stock",IF(NOT($A$12),"Check split rule",IF(NOT(ISNUMBER(B572)),"Invalid date",IF(OR(B572&lt;=0,B572&lt;&gt;INT(B572)),"Invalid date",IF(COUNTIFS(DemoHistory[Date],B572)&lt;&gt;1,"Duplicate date",IF(AND($A572&gt;1,B572&lt;=B571),"Dates out of order",IF(NOT(ISNUMBER(C572)),"Missing price",IF(C572&lt;=0,"Nonpositive price","OK")))))))))</f>
        <v/>
      </c>
      <c r="I572" s="136"/>
      <c r="J572" s="136"/>
      <c r="K572" s="136"/>
      <c r="L572" s="136"/>
      <c r="M572" s="136"/>
      <c r="N572" s="136" t="e">
        <f t="shared" si="25"/>
        <v>#N/A</v>
      </c>
      <c r="O572" s="136" t="e">
        <f t="shared" si="26"/>
        <v>#N/A</v>
      </c>
    </row>
    <row r="573" spans="1:15" ht="22.05" customHeight="1" x14ac:dyDescent="0.3">
      <c r="A573" s="136">
        <v>529</v>
      </c>
      <c r="B573" s="165" t="str">
        <f>IF($A573&gt;MIN($A$10,$A$2),"",INDEX(DemoHistory[Date],$A573))</f>
        <v/>
      </c>
      <c r="C573" s="166" t="str">
        <f>IF(OR($A573&gt;MIN($A$10,$A$2),$A$5=""),"",INDEX(DemoHistory[],$A573,MATCH($A$5,DemoHistory[#Headers],0)))</f>
        <v/>
      </c>
      <c r="D573" s="166" t="str">
        <f>IF($A573&gt;MIN($A$10,$A$2),"",IF(AND($A$12,$A$6=1,B573&lt;$A$7,$A$7&lt;=MAX(DemoHistory[Date])),$A$8,1))</f>
        <v/>
      </c>
      <c r="E573" s="166" t="str">
        <f t="shared" si="24"/>
        <v/>
      </c>
      <c r="F573" s="166" t="str">
        <f>IF($A573&gt;MIN($A$10,$A$2),"",IF($A573&lt;50,"n.a.",IF(COUNT(INDEX(StockDaily[Adjusted close],MAX(1,$A573-50+1)):E573)=50,AVERAGE(INDEX(StockDaily[Adjusted close],MAX(1,$A573-50+1)):E573),"n.a.")))</f>
        <v/>
      </c>
      <c r="G573" s="166" t="str">
        <f>IF($A573&gt;MIN($A$10,$A$2),"",IF($A573&lt;200,"n.a.",IF(COUNT(INDEX(StockDaily[Adjusted close],MAX(1,$A573-200+1)):E573)=200,AVERAGE(INDEX(StockDaily[Adjusted close],MAX(1,$A573-200+1)):E573),"n.a.")))</f>
        <v/>
      </c>
      <c r="H573" s="136" t="str">
        <f>IF($A573&gt;MIN($A$10,$A$2),"",IF($A$5="","Choose stock",IF(NOT($A$12),"Check split rule",IF(NOT(ISNUMBER(B573)),"Invalid date",IF(OR(B573&lt;=0,B573&lt;&gt;INT(B573)),"Invalid date",IF(COUNTIFS(DemoHistory[Date],B573)&lt;&gt;1,"Duplicate date",IF(AND($A573&gt;1,B573&lt;=B572),"Dates out of order",IF(NOT(ISNUMBER(C573)),"Missing price",IF(C573&lt;=0,"Nonpositive price","OK")))))))))</f>
        <v/>
      </c>
      <c r="I573" s="136"/>
      <c r="J573" s="136"/>
      <c r="K573" s="136"/>
      <c r="L573" s="136"/>
      <c r="M573" s="136"/>
      <c r="N573" s="136" t="e">
        <f t="shared" si="25"/>
        <v>#N/A</v>
      </c>
      <c r="O573" s="136" t="e">
        <f t="shared" si="26"/>
        <v>#N/A</v>
      </c>
    </row>
    <row r="574" spans="1:15" ht="22.05" customHeight="1" x14ac:dyDescent="0.3">
      <c r="A574" s="136">
        <v>530</v>
      </c>
      <c r="B574" s="165" t="str">
        <f>IF($A574&gt;MIN($A$10,$A$2),"",INDEX(DemoHistory[Date],$A574))</f>
        <v/>
      </c>
      <c r="C574" s="166" t="str">
        <f>IF(OR($A574&gt;MIN($A$10,$A$2),$A$5=""),"",INDEX(DemoHistory[],$A574,MATCH($A$5,DemoHistory[#Headers],0)))</f>
        <v/>
      </c>
      <c r="D574" s="166" t="str">
        <f>IF($A574&gt;MIN($A$10,$A$2),"",IF(AND($A$12,$A$6=1,B574&lt;$A$7,$A$7&lt;=MAX(DemoHistory[Date])),$A$8,1))</f>
        <v/>
      </c>
      <c r="E574" s="166" t="str">
        <f t="shared" si="24"/>
        <v/>
      </c>
      <c r="F574" s="166" t="str">
        <f>IF($A574&gt;MIN($A$10,$A$2),"",IF($A574&lt;50,"n.a.",IF(COUNT(INDEX(StockDaily[Adjusted close],MAX(1,$A574-50+1)):E574)=50,AVERAGE(INDEX(StockDaily[Adjusted close],MAX(1,$A574-50+1)):E574),"n.a.")))</f>
        <v/>
      </c>
      <c r="G574" s="166" t="str">
        <f>IF($A574&gt;MIN($A$10,$A$2),"",IF($A574&lt;200,"n.a.",IF(COUNT(INDEX(StockDaily[Adjusted close],MAX(1,$A574-200+1)):E574)=200,AVERAGE(INDEX(StockDaily[Adjusted close],MAX(1,$A574-200+1)):E574),"n.a.")))</f>
        <v/>
      </c>
      <c r="H574" s="136" t="str">
        <f>IF($A574&gt;MIN($A$10,$A$2),"",IF($A$5="","Choose stock",IF(NOT($A$12),"Check split rule",IF(NOT(ISNUMBER(B574)),"Invalid date",IF(OR(B574&lt;=0,B574&lt;&gt;INT(B574)),"Invalid date",IF(COUNTIFS(DemoHistory[Date],B574)&lt;&gt;1,"Duplicate date",IF(AND($A574&gt;1,B574&lt;=B573),"Dates out of order",IF(NOT(ISNUMBER(C574)),"Missing price",IF(C574&lt;=0,"Nonpositive price","OK")))))))))</f>
        <v/>
      </c>
      <c r="I574" s="136"/>
      <c r="J574" s="136"/>
      <c r="K574" s="136"/>
      <c r="L574" s="136"/>
      <c r="M574" s="136"/>
      <c r="N574" s="136" t="e">
        <f t="shared" si="25"/>
        <v>#N/A</v>
      </c>
      <c r="O574" s="136" t="e">
        <f t="shared" si="26"/>
        <v>#N/A</v>
      </c>
    </row>
    <row r="575" spans="1:15" ht="22.05" customHeight="1" x14ac:dyDescent="0.3">
      <c r="A575" s="136">
        <v>531</v>
      </c>
      <c r="B575" s="165" t="str">
        <f>IF($A575&gt;MIN($A$10,$A$2),"",INDEX(DemoHistory[Date],$A575))</f>
        <v/>
      </c>
      <c r="C575" s="166" t="str">
        <f>IF(OR($A575&gt;MIN($A$10,$A$2),$A$5=""),"",INDEX(DemoHistory[],$A575,MATCH($A$5,DemoHistory[#Headers],0)))</f>
        <v/>
      </c>
      <c r="D575" s="166" t="str">
        <f>IF($A575&gt;MIN($A$10,$A$2),"",IF(AND($A$12,$A$6=1,B575&lt;$A$7,$A$7&lt;=MAX(DemoHistory[Date])),$A$8,1))</f>
        <v/>
      </c>
      <c r="E575" s="166" t="str">
        <f t="shared" si="24"/>
        <v/>
      </c>
      <c r="F575" s="166" t="str">
        <f>IF($A575&gt;MIN($A$10,$A$2),"",IF($A575&lt;50,"n.a.",IF(COUNT(INDEX(StockDaily[Adjusted close],MAX(1,$A575-50+1)):E575)=50,AVERAGE(INDEX(StockDaily[Adjusted close],MAX(1,$A575-50+1)):E575),"n.a.")))</f>
        <v/>
      </c>
      <c r="G575" s="166" t="str">
        <f>IF($A575&gt;MIN($A$10,$A$2),"",IF($A575&lt;200,"n.a.",IF(COUNT(INDEX(StockDaily[Adjusted close],MAX(1,$A575-200+1)):E575)=200,AVERAGE(INDEX(StockDaily[Adjusted close],MAX(1,$A575-200+1)):E575),"n.a.")))</f>
        <v/>
      </c>
      <c r="H575" s="136" t="str">
        <f>IF($A575&gt;MIN($A$10,$A$2),"",IF($A$5="","Choose stock",IF(NOT($A$12),"Check split rule",IF(NOT(ISNUMBER(B575)),"Invalid date",IF(OR(B575&lt;=0,B575&lt;&gt;INT(B575)),"Invalid date",IF(COUNTIFS(DemoHistory[Date],B575)&lt;&gt;1,"Duplicate date",IF(AND($A575&gt;1,B575&lt;=B574),"Dates out of order",IF(NOT(ISNUMBER(C575)),"Missing price",IF(C575&lt;=0,"Nonpositive price","OK")))))))))</f>
        <v/>
      </c>
      <c r="I575" s="136"/>
      <c r="J575" s="136"/>
      <c r="K575" s="136"/>
      <c r="L575" s="136"/>
      <c r="M575" s="136"/>
      <c r="N575" s="136" t="e">
        <f t="shared" si="25"/>
        <v>#N/A</v>
      </c>
      <c r="O575" s="136" t="e">
        <f t="shared" si="26"/>
        <v>#N/A</v>
      </c>
    </row>
    <row r="576" spans="1:15" ht="22.05" customHeight="1" x14ac:dyDescent="0.3">
      <c r="A576" s="136">
        <v>532</v>
      </c>
      <c r="B576" s="165" t="str">
        <f>IF($A576&gt;MIN($A$10,$A$2),"",INDEX(DemoHistory[Date],$A576))</f>
        <v/>
      </c>
      <c r="C576" s="166" t="str">
        <f>IF(OR($A576&gt;MIN($A$10,$A$2),$A$5=""),"",INDEX(DemoHistory[],$A576,MATCH($A$5,DemoHistory[#Headers],0)))</f>
        <v/>
      </c>
      <c r="D576" s="166" t="str">
        <f>IF($A576&gt;MIN($A$10,$A$2),"",IF(AND($A$12,$A$6=1,B576&lt;$A$7,$A$7&lt;=MAX(DemoHistory[Date])),$A$8,1))</f>
        <v/>
      </c>
      <c r="E576" s="166" t="str">
        <f t="shared" si="24"/>
        <v/>
      </c>
      <c r="F576" s="166" t="str">
        <f>IF($A576&gt;MIN($A$10,$A$2),"",IF($A576&lt;50,"n.a.",IF(COUNT(INDEX(StockDaily[Adjusted close],MAX(1,$A576-50+1)):E576)=50,AVERAGE(INDEX(StockDaily[Adjusted close],MAX(1,$A576-50+1)):E576),"n.a.")))</f>
        <v/>
      </c>
      <c r="G576" s="166" t="str">
        <f>IF($A576&gt;MIN($A$10,$A$2),"",IF($A576&lt;200,"n.a.",IF(COUNT(INDEX(StockDaily[Adjusted close],MAX(1,$A576-200+1)):E576)=200,AVERAGE(INDEX(StockDaily[Adjusted close],MAX(1,$A576-200+1)):E576),"n.a.")))</f>
        <v/>
      </c>
      <c r="H576" s="136" t="str">
        <f>IF($A576&gt;MIN($A$10,$A$2),"",IF($A$5="","Choose stock",IF(NOT($A$12),"Check split rule",IF(NOT(ISNUMBER(B576)),"Invalid date",IF(OR(B576&lt;=0,B576&lt;&gt;INT(B576)),"Invalid date",IF(COUNTIFS(DemoHistory[Date],B576)&lt;&gt;1,"Duplicate date",IF(AND($A576&gt;1,B576&lt;=B575),"Dates out of order",IF(NOT(ISNUMBER(C576)),"Missing price",IF(C576&lt;=0,"Nonpositive price","OK")))))))))</f>
        <v/>
      </c>
      <c r="I576" s="136"/>
      <c r="J576" s="136"/>
      <c r="K576" s="136"/>
      <c r="L576" s="136"/>
      <c r="M576" s="136"/>
      <c r="N576" s="136" t="e">
        <f t="shared" si="25"/>
        <v>#N/A</v>
      </c>
      <c r="O576" s="136" t="e">
        <f t="shared" si="26"/>
        <v>#N/A</v>
      </c>
    </row>
    <row r="577" spans="1:15" ht="22.05" customHeight="1" x14ac:dyDescent="0.3">
      <c r="A577" s="136">
        <v>533</v>
      </c>
      <c r="B577" s="165" t="str">
        <f>IF($A577&gt;MIN($A$10,$A$2),"",INDEX(DemoHistory[Date],$A577))</f>
        <v/>
      </c>
      <c r="C577" s="166" t="str">
        <f>IF(OR($A577&gt;MIN($A$10,$A$2),$A$5=""),"",INDEX(DemoHistory[],$A577,MATCH($A$5,DemoHistory[#Headers],0)))</f>
        <v/>
      </c>
      <c r="D577" s="166" t="str">
        <f>IF($A577&gt;MIN($A$10,$A$2),"",IF(AND($A$12,$A$6=1,B577&lt;$A$7,$A$7&lt;=MAX(DemoHistory[Date])),$A$8,1))</f>
        <v/>
      </c>
      <c r="E577" s="166" t="str">
        <f t="shared" si="24"/>
        <v/>
      </c>
      <c r="F577" s="166" t="str">
        <f>IF($A577&gt;MIN($A$10,$A$2),"",IF($A577&lt;50,"n.a.",IF(COUNT(INDEX(StockDaily[Adjusted close],MAX(1,$A577-50+1)):E577)=50,AVERAGE(INDEX(StockDaily[Adjusted close],MAX(1,$A577-50+1)):E577),"n.a.")))</f>
        <v/>
      </c>
      <c r="G577" s="166" t="str">
        <f>IF($A577&gt;MIN($A$10,$A$2),"",IF($A577&lt;200,"n.a.",IF(COUNT(INDEX(StockDaily[Adjusted close],MAX(1,$A577-200+1)):E577)=200,AVERAGE(INDEX(StockDaily[Adjusted close],MAX(1,$A577-200+1)):E577),"n.a.")))</f>
        <v/>
      </c>
      <c r="H577" s="136" t="str">
        <f>IF($A577&gt;MIN($A$10,$A$2),"",IF($A$5="","Choose stock",IF(NOT($A$12),"Check split rule",IF(NOT(ISNUMBER(B577)),"Invalid date",IF(OR(B577&lt;=0,B577&lt;&gt;INT(B577)),"Invalid date",IF(COUNTIFS(DemoHistory[Date],B577)&lt;&gt;1,"Duplicate date",IF(AND($A577&gt;1,B577&lt;=B576),"Dates out of order",IF(NOT(ISNUMBER(C577)),"Missing price",IF(C577&lt;=0,"Nonpositive price","OK")))))))))</f>
        <v/>
      </c>
      <c r="I577" s="136"/>
      <c r="J577" s="136"/>
      <c r="K577" s="136"/>
      <c r="L577" s="136"/>
      <c r="M577" s="136"/>
      <c r="N577" s="136" t="e">
        <f t="shared" si="25"/>
        <v>#N/A</v>
      </c>
      <c r="O577" s="136" t="e">
        <f t="shared" si="26"/>
        <v>#N/A</v>
      </c>
    </row>
    <row r="578" spans="1:15" ht="22.05" customHeight="1" x14ac:dyDescent="0.3">
      <c r="A578" s="136">
        <v>534</v>
      </c>
      <c r="B578" s="165" t="str">
        <f>IF($A578&gt;MIN($A$10,$A$2),"",INDEX(DemoHistory[Date],$A578))</f>
        <v/>
      </c>
      <c r="C578" s="166" t="str">
        <f>IF(OR($A578&gt;MIN($A$10,$A$2),$A$5=""),"",INDEX(DemoHistory[],$A578,MATCH($A$5,DemoHistory[#Headers],0)))</f>
        <v/>
      </c>
      <c r="D578" s="166" t="str">
        <f>IF($A578&gt;MIN($A$10,$A$2),"",IF(AND($A$12,$A$6=1,B578&lt;$A$7,$A$7&lt;=MAX(DemoHistory[Date])),$A$8,1))</f>
        <v/>
      </c>
      <c r="E578" s="166" t="str">
        <f t="shared" si="24"/>
        <v/>
      </c>
      <c r="F578" s="166" t="str">
        <f>IF($A578&gt;MIN($A$10,$A$2),"",IF($A578&lt;50,"n.a.",IF(COUNT(INDEX(StockDaily[Adjusted close],MAX(1,$A578-50+1)):E578)=50,AVERAGE(INDEX(StockDaily[Adjusted close],MAX(1,$A578-50+1)):E578),"n.a.")))</f>
        <v/>
      </c>
      <c r="G578" s="166" t="str">
        <f>IF($A578&gt;MIN($A$10,$A$2),"",IF($A578&lt;200,"n.a.",IF(COUNT(INDEX(StockDaily[Adjusted close],MAX(1,$A578-200+1)):E578)=200,AVERAGE(INDEX(StockDaily[Adjusted close],MAX(1,$A578-200+1)):E578),"n.a.")))</f>
        <v/>
      </c>
      <c r="H578" s="136" t="str">
        <f>IF($A578&gt;MIN($A$10,$A$2),"",IF($A$5="","Choose stock",IF(NOT($A$12),"Check split rule",IF(NOT(ISNUMBER(B578)),"Invalid date",IF(OR(B578&lt;=0,B578&lt;&gt;INT(B578)),"Invalid date",IF(COUNTIFS(DemoHistory[Date],B578)&lt;&gt;1,"Duplicate date",IF(AND($A578&gt;1,B578&lt;=B577),"Dates out of order",IF(NOT(ISNUMBER(C578)),"Missing price",IF(C578&lt;=0,"Nonpositive price","OK")))))))))</f>
        <v/>
      </c>
      <c r="I578" s="136"/>
      <c r="J578" s="136"/>
      <c r="K578" s="136"/>
      <c r="L578" s="136"/>
      <c r="M578" s="136"/>
      <c r="N578" s="136" t="e">
        <f t="shared" si="25"/>
        <v>#N/A</v>
      </c>
      <c r="O578" s="136" t="e">
        <f t="shared" si="26"/>
        <v>#N/A</v>
      </c>
    </row>
    <row r="579" spans="1:15" ht="22.05" customHeight="1" x14ac:dyDescent="0.3">
      <c r="A579" s="136">
        <v>535</v>
      </c>
      <c r="B579" s="165" t="str">
        <f>IF($A579&gt;MIN($A$10,$A$2),"",INDEX(DemoHistory[Date],$A579))</f>
        <v/>
      </c>
      <c r="C579" s="166" t="str">
        <f>IF(OR($A579&gt;MIN($A$10,$A$2),$A$5=""),"",INDEX(DemoHistory[],$A579,MATCH($A$5,DemoHistory[#Headers],0)))</f>
        <v/>
      </c>
      <c r="D579" s="166" t="str">
        <f>IF($A579&gt;MIN($A$10,$A$2),"",IF(AND($A$12,$A$6=1,B579&lt;$A$7,$A$7&lt;=MAX(DemoHistory[Date])),$A$8,1))</f>
        <v/>
      </c>
      <c r="E579" s="166" t="str">
        <f t="shared" si="24"/>
        <v/>
      </c>
      <c r="F579" s="166" t="str">
        <f>IF($A579&gt;MIN($A$10,$A$2),"",IF($A579&lt;50,"n.a.",IF(COUNT(INDEX(StockDaily[Adjusted close],MAX(1,$A579-50+1)):E579)=50,AVERAGE(INDEX(StockDaily[Adjusted close],MAX(1,$A579-50+1)):E579),"n.a.")))</f>
        <v/>
      </c>
      <c r="G579" s="166" t="str">
        <f>IF($A579&gt;MIN($A$10,$A$2),"",IF($A579&lt;200,"n.a.",IF(COUNT(INDEX(StockDaily[Adjusted close],MAX(1,$A579-200+1)):E579)=200,AVERAGE(INDEX(StockDaily[Adjusted close],MAX(1,$A579-200+1)):E579),"n.a.")))</f>
        <v/>
      </c>
      <c r="H579" s="136" t="str">
        <f>IF($A579&gt;MIN($A$10,$A$2),"",IF($A$5="","Choose stock",IF(NOT($A$12),"Check split rule",IF(NOT(ISNUMBER(B579)),"Invalid date",IF(OR(B579&lt;=0,B579&lt;&gt;INT(B579)),"Invalid date",IF(COUNTIFS(DemoHistory[Date],B579)&lt;&gt;1,"Duplicate date",IF(AND($A579&gt;1,B579&lt;=B578),"Dates out of order",IF(NOT(ISNUMBER(C579)),"Missing price",IF(C579&lt;=0,"Nonpositive price","OK")))))))))</f>
        <v/>
      </c>
      <c r="I579" s="136"/>
      <c r="J579" s="136"/>
      <c r="K579" s="136"/>
      <c r="L579" s="136"/>
      <c r="M579" s="136"/>
      <c r="N579" s="136" t="e">
        <f t="shared" si="25"/>
        <v>#N/A</v>
      </c>
      <c r="O579" s="136" t="e">
        <f t="shared" si="26"/>
        <v>#N/A</v>
      </c>
    </row>
    <row r="580" spans="1:15" ht="22.05" customHeight="1" x14ac:dyDescent="0.3">
      <c r="A580" s="136">
        <v>536</v>
      </c>
      <c r="B580" s="165" t="str">
        <f>IF($A580&gt;MIN($A$10,$A$2),"",INDEX(DemoHistory[Date],$A580))</f>
        <v/>
      </c>
      <c r="C580" s="166" t="str">
        <f>IF(OR($A580&gt;MIN($A$10,$A$2),$A$5=""),"",INDEX(DemoHistory[],$A580,MATCH($A$5,DemoHistory[#Headers],0)))</f>
        <v/>
      </c>
      <c r="D580" s="166" t="str">
        <f>IF($A580&gt;MIN($A$10,$A$2),"",IF(AND($A$12,$A$6=1,B580&lt;$A$7,$A$7&lt;=MAX(DemoHistory[Date])),$A$8,1))</f>
        <v/>
      </c>
      <c r="E580" s="166" t="str">
        <f t="shared" si="24"/>
        <v/>
      </c>
      <c r="F580" s="166" t="str">
        <f>IF($A580&gt;MIN($A$10,$A$2),"",IF($A580&lt;50,"n.a.",IF(COUNT(INDEX(StockDaily[Adjusted close],MAX(1,$A580-50+1)):E580)=50,AVERAGE(INDEX(StockDaily[Adjusted close],MAX(1,$A580-50+1)):E580),"n.a.")))</f>
        <v/>
      </c>
      <c r="G580" s="166" t="str">
        <f>IF($A580&gt;MIN($A$10,$A$2),"",IF($A580&lt;200,"n.a.",IF(COUNT(INDEX(StockDaily[Adjusted close],MAX(1,$A580-200+1)):E580)=200,AVERAGE(INDEX(StockDaily[Adjusted close],MAX(1,$A580-200+1)):E580),"n.a.")))</f>
        <v/>
      </c>
      <c r="H580" s="136" t="str">
        <f>IF($A580&gt;MIN($A$10,$A$2),"",IF($A$5="","Choose stock",IF(NOT($A$12),"Check split rule",IF(NOT(ISNUMBER(B580)),"Invalid date",IF(OR(B580&lt;=0,B580&lt;&gt;INT(B580)),"Invalid date",IF(COUNTIFS(DemoHistory[Date],B580)&lt;&gt;1,"Duplicate date",IF(AND($A580&gt;1,B580&lt;=B579),"Dates out of order",IF(NOT(ISNUMBER(C580)),"Missing price",IF(C580&lt;=0,"Nonpositive price","OK")))))))))</f>
        <v/>
      </c>
      <c r="I580" s="136"/>
      <c r="J580" s="136"/>
      <c r="K580" s="136"/>
      <c r="L580" s="136"/>
      <c r="M580" s="136"/>
      <c r="N580" s="136" t="e">
        <f t="shared" si="25"/>
        <v>#N/A</v>
      </c>
      <c r="O580" s="136" t="e">
        <f t="shared" si="26"/>
        <v>#N/A</v>
      </c>
    </row>
    <row r="581" spans="1:15" ht="22.05" customHeight="1" x14ac:dyDescent="0.3">
      <c r="A581" s="136">
        <v>537</v>
      </c>
      <c r="B581" s="165" t="str">
        <f>IF($A581&gt;MIN($A$10,$A$2),"",INDEX(DemoHistory[Date],$A581))</f>
        <v/>
      </c>
      <c r="C581" s="166" t="str">
        <f>IF(OR($A581&gt;MIN($A$10,$A$2),$A$5=""),"",INDEX(DemoHistory[],$A581,MATCH($A$5,DemoHistory[#Headers],0)))</f>
        <v/>
      </c>
      <c r="D581" s="166" t="str">
        <f>IF($A581&gt;MIN($A$10,$A$2),"",IF(AND($A$12,$A$6=1,B581&lt;$A$7,$A$7&lt;=MAX(DemoHistory[Date])),$A$8,1))</f>
        <v/>
      </c>
      <c r="E581" s="166" t="str">
        <f t="shared" si="24"/>
        <v/>
      </c>
      <c r="F581" s="166" t="str">
        <f>IF($A581&gt;MIN($A$10,$A$2),"",IF($A581&lt;50,"n.a.",IF(COUNT(INDEX(StockDaily[Adjusted close],MAX(1,$A581-50+1)):E581)=50,AVERAGE(INDEX(StockDaily[Adjusted close],MAX(1,$A581-50+1)):E581),"n.a.")))</f>
        <v/>
      </c>
      <c r="G581" s="166" t="str">
        <f>IF($A581&gt;MIN($A$10,$A$2),"",IF($A581&lt;200,"n.a.",IF(COUNT(INDEX(StockDaily[Adjusted close],MAX(1,$A581-200+1)):E581)=200,AVERAGE(INDEX(StockDaily[Adjusted close],MAX(1,$A581-200+1)):E581),"n.a.")))</f>
        <v/>
      </c>
      <c r="H581" s="136" t="str">
        <f>IF($A581&gt;MIN($A$10,$A$2),"",IF($A$5="","Choose stock",IF(NOT($A$12),"Check split rule",IF(NOT(ISNUMBER(B581)),"Invalid date",IF(OR(B581&lt;=0,B581&lt;&gt;INT(B581)),"Invalid date",IF(COUNTIFS(DemoHistory[Date],B581)&lt;&gt;1,"Duplicate date",IF(AND($A581&gt;1,B581&lt;=B580),"Dates out of order",IF(NOT(ISNUMBER(C581)),"Missing price",IF(C581&lt;=0,"Nonpositive price","OK")))))))))</f>
        <v/>
      </c>
      <c r="I581" s="136"/>
      <c r="J581" s="136"/>
      <c r="K581" s="136"/>
      <c r="L581" s="136"/>
      <c r="M581" s="136"/>
      <c r="N581" s="136" t="e">
        <f t="shared" si="25"/>
        <v>#N/A</v>
      </c>
      <c r="O581" s="136" t="e">
        <f t="shared" si="26"/>
        <v>#N/A</v>
      </c>
    </row>
    <row r="582" spans="1:15" ht="22.05" customHeight="1" x14ac:dyDescent="0.3">
      <c r="A582" s="136">
        <v>538</v>
      </c>
      <c r="B582" s="165" t="str">
        <f>IF($A582&gt;MIN($A$10,$A$2),"",INDEX(DemoHistory[Date],$A582))</f>
        <v/>
      </c>
      <c r="C582" s="166" t="str">
        <f>IF(OR($A582&gt;MIN($A$10,$A$2),$A$5=""),"",INDEX(DemoHistory[],$A582,MATCH($A$5,DemoHistory[#Headers],0)))</f>
        <v/>
      </c>
      <c r="D582" s="166" t="str">
        <f>IF($A582&gt;MIN($A$10,$A$2),"",IF(AND($A$12,$A$6=1,B582&lt;$A$7,$A$7&lt;=MAX(DemoHistory[Date])),$A$8,1))</f>
        <v/>
      </c>
      <c r="E582" s="166" t="str">
        <f t="shared" si="24"/>
        <v/>
      </c>
      <c r="F582" s="166" t="str">
        <f>IF($A582&gt;MIN($A$10,$A$2),"",IF($A582&lt;50,"n.a.",IF(COUNT(INDEX(StockDaily[Adjusted close],MAX(1,$A582-50+1)):E582)=50,AVERAGE(INDEX(StockDaily[Adjusted close],MAX(1,$A582-50+1)):E582),"n.a.")))</f>
        <v/>
      </c>
      <c r="G582" s="166" t="str">
        <f>IF($A582&gt;MIN($A$10,$A$2),"",IF($A582&lt;200,"n.a.",IF(COUNT(INDEX(StockDaily[Adjusted close],MAX(1,$A582-200+1)):E582)=200,AVERAGE(INDEX(StockDaily[Adjusted close],MAX(1,$A582-200+1)):E582),"n.a.")))</f>
        <v/>
      </c>
      <c r="H582" s="136" t="str">
        <f>IF($A582&gt;MIN($A$10,$A$2),"",IF($A$5="","Choose stock",IF(NOT($A$12),"Check split rule",IF(NOT(ISNUMBER(B582)),"Invalid date",IF(OR(B582&lt;=0,B582&lt;&gt;INT(B582)),"Invalid date",IF(COUNTIFS(DemoHistory[Date],B582)&lt;&gt;1,"Duplicate date",IF(AND($A582&gt;1,B582&lt;=B581),"Dates out of order",IF(NOT(ISNUMBER(C582)),"Missing price",IF(C582&lt;=0,"Nonpositive price","OK")))))))))</f>
        <v/>
      </c>
      <c r="I582" s="136"/>
      <c r="J582" s="136"/>
      <c r="K582" s="136"/>
      <c r="L582" s="136"/>
      <c r="M582" s="136"/>
      <c r="N582" s="136" t="e">
        <f t="shared" si="25"/>
        <v>#N/A</v>
      </c>
      <c r="O582" s="136" t="e">
        <f t="shared" si="26"/>
        <v>#N/A</v>
      </c>
    </row>
    <row r="583" spans="1:15" ht="22.05" customHeight="1" x14ac:dyDescent="0.3">
      <c r="A583" s="136">
        <v>539</v>
      </c>
      <c r="B583" s="165" t="str">
        <f>IF($A583&gt;MIN($A$10,$A$2),"",INDEX(DemoHistory[Date],$A583))</f>
        <v/>
      </c>
      <c r="C583" s="166" t="str">
        <f>IF(OR($A583&gt;MIN($A$10,$A$2),$A$5=""),"",INDEX(DemoHistory[],$A583,MATCH($A$5,DemoHistory[#Headers],0)))</f>
        <v/>
      </c>
      <c r="D583" s="166" t="str">
        <f>IF($A583&gt;MIN($A$10,$A$2),"",IF(AND($A$12,$A$6=1,B583&lt;$A$7,$A$7&lt;=MAX(DemoHistory[Date])),$A$8,1))</f>
        <v/>
      </c>
      <c r="E583" s="166" t="str">
        <f t="shared" si="24"/>
        <v/>
      </c>
      <c r="F583" s="166" t="str">
        <f>IF($A583&gt;MIN($A$10,$A$2),"",IF($A583&lt;50,"n.a.",IF(COUNT(INDEX(StockDaily[Adjusted close],MAX(1,$A583-50+1)):E583)=50,AVERAGE(INDEX(StockDaily[Adjusted close],MAX(1,$A583-50+1)):E583),"n.a.")))</f>
        <v/>
      </c>
      <c r="G583" s="166" t="str">
        <f>IF($A583&gt;MIN($A$10,$A$2),"",IF($A583&lt;200,"n.a.",IF(COUNT(INDEX(StockDaily[Adjusted close],MAX(1,$A583-200+1)):E583)=200,AVERAGE(INDEX(StockDaily[Adjusted close],MAX(1,$A583-200+1)):E583),"n.a.")))</f>
        <v/>
      </c>
      <c r="H583" s="136" t="str">
        <f>IF($A583&gt;MIN($A$10,$A$2),"",IF($A$5="","Choose stock",IF(NOT($A$12),"Check split rule",IF(NOT(ISNUMBER(B583)),"Invalid date",IF(OR(B583&lt;=0,B583&lt;&gt;INT(B583)),"Invalid date",IF(COUNTIFS(DemoHistory[Date],B583)&lt;&gt;1,"Duplicate date",IF(AND($A583&gt;1,B583&lt;=B582),"Dates out of order",IF(NOT(ISNUMBER(C583)),"Missing price",IF(C583&lt;=0,"Nonpositive price","OK")))))))))</f>
        <v/>
      </c>
      <c r="I583" s="136"/>
      <c r="J583" s="136"/>
      <c r="K583" s="136"/>
      <c r="L583" s="136"/>
      <c r="M583" s="136"/>
      <c r="N583" s="136" t="e">
        <f t="shared" si="25"/>
        <v>#N/A</v>
      </c>
      <c r="O583" s="136" t="e">
        <f t="shared" si="26"/>
        <v>#N/A</v>
      </c>
    </row>
    <row r="584" spans="1:15" ht="22.05" customHeight="1" x14ac:dyDescent="0.3">
      <c r="A584" s="136">
        <v>540</v>
      </c>
      <c r="B584" s="165" t="str">
        <f>IF($A584&gt;MIN($A$10,$A$2),"",INDEX(DemoHistory[Date],$A584))</f>
        <v/>
      </c>
      <c r="C584" s="166" t="str">
        <f>IF(OR($A584&gt;MIN($A$10,$A$2),$A$5=""),"",INDEX(DemoHistory[],$A584,MATCH($A$5,DemoHistory[#Headers],0)))</f>
        <v/>
      </c>
      <c r="D584" s="166" t="str">
        <f>IF($A584&gt;MIN($A$10,$A$2),"",IF(AND($A$12,$A$6=1,B584&lt;$A$7,$A$7&lt;=MAX(DemoHistory[Date])),$A$8,1))</f>
        <v/>
      </c>
      <c r="E584" s="166" t="str">
        <f t="shared" si="24"/>
        <v/>
      </c>
      <c r="F584" s="166" t="str">
        <f>IF($A584&gt;MIN($A$10,$A$2),"",IF($A584&lt;50,"n.a.",IF(COUNT(INDEX(StockDaily[Adjusted close],MAX(1,$A584-50+1)):E584)=50,AVERAGE(INDEX(StockDaily[Adjusted close],MAX(1,$A584-50+1)):E584),"n.a.")))</f>
        <v/>
      </c>
      <c r="G584" s="166" t="str">
        <f>IF($A584&gt;MIN($A$10,$A$2),"",IF($A584&lt;200,"n.a.",IF(COUNT(INDEX(StockDaily[Adjusted close],MAX(1,$A584-200+1)):E584)=200,AVERAGE(INDEX(StockDaily[Adjusted close],MAX(1,$A584-200+1)):E584),"n.a.")))</f>
        <v/>
      </c>
      <c r="H584" s="136" t="str">
        <f>IF($A584&gt;MIN($A$10,$A$2),"",IF($A$5="","Choose stock",IF(NOT($A$12),"Check split rule",IF(NOT(ISNUMBER(B584)),"Invalid date",IF(OR(B584&lt;=0,B584&lt;&gt;INT(B584)),"Invalid date",IF(COUNTIFS(DemoHistory[Date],B584)&lt;&gt;1,"Duplicate date",IF(AND($A584&gt;1,B584&lt;=B583),"Dates out of order",IF(NOT(ISNUMBER(C584)),"Missing price",IF(C584&lt;=0,"Nonpositive price","OK")))))))))</f>
        <v/>
      </c>
      <c r="I584" s="136"/>
      <c r="J584" s="136"/>
      <c r="K584" s="136"/>
      <c r="L584" s="136"/>
      <c r="M584" s="136"/>
      <c r="N584" s="136" t="e">
        <f t="shared" si="25"/>
        <v>#N/A</v>
      </c>
      <c r="O584" s="136" t="e">
        <f t="shared" si="26"/>
        <v>#N/A</v>
      </c>
    </row>
    <row r="585" spans="1:15" ht="22.05" customHeight="1" x14ac:dyDescent="0.3">
      <c r="A585" s="136">
        <v>541</v>
      </c>
      <c r="B585" s="165" t="str">
        <f>IF($A585&gt;MIN($A$10,$A$2),"",INDEX(DemoHistory[Date],$A585))</f>
        <v/>
      </c>
      <c r="C585" s="166" t="str">
        <f>IF(OR($A585&gt;MIN($A$10,$A$2),$A$5=""),"",INDEX(DemoHistory[],$A585,MATCH($A$5,DemoHistory[#Headers],0)))</f>
        <v/>
      </c>
      <c r="D585" s="166" t="str">
        <f>IF($A585&gt;MIN($A$10,$A$2),"",IF(AND($A$12,$A$6=1,B585&lt;$A$7,$A$7&lt;=MAX(DemoHistory[Date])),$A$8,1))</f>
        <v/>
      </c>
      <c r="E585" s="166" t="str">
        <f t="shared" si="24"/>
        <v/>
      </c>
      <c r="F585" s="166" t="str">
        <f>IF($A585&gt;MIN($A$10,$A$2),"",IF($A585&lt;50,"n.a.",IF(COUNT(INDEX(StockDaily[Adjusted close],MAX(1,$A585-50+1)):E585)=50,AVERAGE(INDEX(StockDaily[Adjusted close],MAX(1,$A585-50+1)):E585),"n.a.")))</f>
        <v/>
      </c>
      <c r="G585" s="166" t="str">
        <f>IF($A585&gt;MIN($A$10,$A$2),"",IF($A585&lt;200,"n.a.",IF(COUNT(INDEX(StockDaily[Adjusted close],MAX(1,$A585-200+1)):E585)=200,AVERAGE(INDEX(StockDaily[Adjusted close],MAX(1,$A585-200+1)):E585),"n.a.")))</f>
        <v/>
      </c>
      <c r="H585" s="136" t="str">
        <f>IF($A585&gt;MIN($A$10,$A$2),"",IF($A$5="","Choose stock",IF(NOT($A$12),"Check split rule",IF(NOT(ISNUMBER(B585)),"Invalid date",IF(OR(B585&lt;=0,B585&lt;&gt;INT(B585)),"Invalid date",IF(COUNTIFS(DemoHistory[Date],B585)&lt;&gt;1,"Duplicate date",IF(AND($A585&gt;1,B585&lt;=B584),"Dates out of order",IF(NOT(ISNUMBER(C585)),"Missing price",IF(C585&lt;=0,"Nonpositive price","OK")))))))))</f>
        <v/>
      </c>
      <c r="I585" s="136"/>
      <c r="J585" s="136"/>
      <c r="K585" s="136"/>
      <c r="L585" s="136"/>
      <c r="M585" s="136"/>
      <c r="N585" s="136" t="e">
        <f t="shared" si="25"/>
        <v>#N/A</v>
      </c>
      <c r="O585" s="136" t="e">
        <f t="shared" si="26"/>
        <v>#N/A</v>
      </c>
    </row>
    <row r="586" spans="1:15" ht="22.05" customHeight="1" x14ac:dyDescent="0.3">
      <c r="A586" s="136">
        <v>542</v>
      </c>
      <c r="B586" s="165" t="str">
        <f>IF($A586&gt;MIN($A$10,$A$2),"",INDEX(DemoHistory[Date],$A586))</f>
        <v/>
      </c>
      <c r="C586" s="166" t="str">
        <f>IF(OR($A586&gt;MIN($A$10,$A$2),$A$5=""),"",INDEX(DemoHistory[],$A586,MATCH($A$5,DemoHistory[#Headers],0)))</f>
        <v/>
      </c>
      <c r="D586" s="166" t="str">
        <f>IF($A586&gt;MIN($A$10,$A$2),"",IF(AND($A$12,$A$6=1,B586&lt;$A$7,$A$7&lt;=MAX(DemoHistory[Date])),$A$8,1))</f>
        <v/>
      </c>
      <c r="E586" s="166" t="str">
        <f t="shared" si="24"/>
        <v/>
      </c>
      <c r="F586" s="166" t="str">
        <f>IF($A586&gt;MIN($A$10,$A$2),"",IF($A586&lt;50,"n.a.",IF(COUNT(INDEX(StockDaily[Adjusted close],MAX(1,$A586-50+1)):E586)=50,AVERAGE(INDEX(StockDaily[Adjusted close],MAX(1,$A586-50+1)):E586),"n.a.")))</f>
        <v/>
      </c>
      <c r="G586" s="166" t="str">
        <f>IF($A586&gt;MIN($A$10,$A$2),"",IF($A586&lt;200,"n.a.",IF(COUNT(INDEX(StockDaily[Adjusted close],MAX(1,$A586-200+1)):E586)=200,AVERAGE(INDEX(StockDaily[Adjusted close],MAX(1,$A586-200+1)):E586),"n.a.")))</f>
        <v/>
      </c>
      <c r="H586" s="136" t="str">
        <f>IF($A586&gt;MIN($A$10,$A$2),"",IF($A$5="","Choose stock",IF(NOT($A$12),"Check split rule",IF(NOT(ISNUMBER(B586)),"Invalid date",IF(OR(B586&lt;=0,B586&lt;&gt;INT(B586)),"Invalid date",IF(COUNTIFS(DemoHistory[Date],B586)&lt;&gt;1,"Duplicate date",IF(AND($A586&gt;1,B586&lt;=B585),"Dates out of order",IF(NOT(ISNUMBER(C586)),"Missing price",IF(C586&lt;=0,"Nonpositive price","OK")))))))))</f>
        <v/>
      </c>
      <c r="I586" s="136"/>
      <c r="J586" s="136"/>
      <c r="K586" s="136"/>
      <c r="L586" s="136"/>
      <c r="M586" s="136"/>
      <c r="N586" s="136" t="e">
        <f t="shared" si="25"/>
        <v>#N/A</v>
      </c>
      <c r="O586" s="136" t="e">
        <f t="shared" si="26"/>
        <v>#N/A</v>
      </c>
    </row>
    <row r="587" spans="1:15" ht="22.05" customHeight="1" x14ac:dyDescent="0.3">
      <c r="A587" s="136">
        <v>543</v>
      </c>
      <c r="B587" s="165" t="str">
        <f>IF($A587&gt;MIN($A$10,$A$2),"",INDEX(DemoHistory[Date],$A587))</f>
        <v/>
      </c>
      <c r="C587" s="166" t="str">
        <f>IF(OR($A587&gt;MIN($A$10,$A$2),$A$5=""),"",INDEX(DemoHistory[],$A587,MATCH($A$5,DemoHistory[#Headers],0)))</f>
        <v/>
      </c>
      <c r="D587" s="166" t="str">
        <f>IF($A587&gt;MIN($A$10,$A$2),"",IF(AND($A$12,$A$6=1,B587&lt;$A$7,$A$7&lt;=MAX(DemoHistory[Date])),$A$8,1))</f>
        <v/>
      </c>
      <c r="E587" s="166" t="str">
        <f t="shared" si="24"/>
        <v/>
      </c>
      <c r="F587" s="166" t="str">
        <f>IF($A587&gt;MIN($A$10,$A$2),"",IF($A587&lt;50,"n.a.",IF(COUNT(INDEX(StockDaily[Adjusted close],MAX(1,$A587-50+1)):E587)=50,AVERAGE(INDEX(StockDaily[Adjusted close],MAX(1,$A587-50+1)):E587),"n.a.")))</f>
        <v/>
      </c>
      <c r="G587" s="166" t="str">
        <f>IF($A587&gt;MIN($A$10,$A$2),"",IF($A587&lt;200,"n.a.",IF(COUNT(INDEX(StockDaily[Adjusted close],MAX(1,$A587-200+1)):E587)=200,AVERAGE(INDEX(StockDaily[Adjusted close],MAX(1,$A587-200+1)):E587),"n.a.")))</f>
        <v/>
      </c>
      <c r="H587" s="136" t="str">
        <f>IF($A587&gt;MIN($A$10,$A$2),"",IF($A$5="","Choose stock",IF(NOT($A$12),"Check split rule",IF(NOT(ISNUMBER(B587)),"Invalid date",IF(OR(B587&lt;=0,B587&lt;&gt;INT(B587)),"Invalid date",IF(COUNTIFS(DemoHistory[Date],B587)&lt;&gt;1,"Duplicate date",IF(AND($A587&gt;1,B587&lt;=B586),"Dates out of order",IF(NOT(ISNUMBER(C587)),"Missing price",IF(C587&lt;=0,"Nonpositive price","OK")))))))))</f>
        <v/>
      </c>
      <c r="I587" s="136"/>
      <c r="J587" s="136"/>
      <c r="K587" s="136"/>
      <c r="L587" s="136"/>
      <c r="M587" s="136"/>
      <c r="N587" s="136" t="e">
        <f t="shared" si="25"/>
        <v>#N/A</v>
      </c>
      <c r="O587" s="136" t="e">
        <f t="shared" si="26"/>
        <v>#N/A</v>
      </c>
    </row>
    <row r="588" spans="1:15" ht="22.05" customHeight="1" x14ac:dyDescent="0.3">
      <c r="A588" s="136">
        <v>544</v>
      </c>
      <c r="B588" s="165" t="str">
        <f>IF($A588&gt;MIN($A$10,$A$2),"",INDEX(DemoHistory[Date],$A588))</f>
        <v/>
      </c>
      <c r="C588" s="166" t="str">
        <f>IF(OR($A588&gt;MIN($A$10,$A$2),$A$5=""),"",INDEX(DemoHistory[],$A588,MATCH($A$5,DemoHistory[#Headers],0)))</f>
        <v/>
      </c>
      <c r="D588" s="166" t="str">
        <f>IF($A588&gt;MIN($A$10,$A$2),"",IF(AND($A$12,$A$6=1,B588&lt;$A$7,$A$7&lt;=MAX(DemoHistory[Date])),$A$8,1))</f>
        <v/>
      </c>
      <c r="E588" s="166" t="str">
        <f t="shared" si="24"/>
        <v/>
      </c>
      <c r="F588" s="166" t="str">
        <f>IF($A588&gt;MIN($A$10,$A$2),"",IF($A588&lt;50,"n.a.",IF(COUNT(INDEX(StockDaily[Adjusted close],MAX(1,$A588-50+1)):E588)=50,AVERAGE(INDEX(StockDaily[Adjusted close],MAX(1,$A588-50+1)):E588),"n.a.")))</f>
        <v/>
      </c>
      <c r="G588" s="166" t="str">
        <f>IF($A588&gt;MIN($A$10,$A$2),"",IF($A588&lt;200,"n.a.",IF(COUNT(INDEX(StockDaily[Adjusted close],MAX(1,$A588-200+1)):E588)=200,AVERAGE(INDEX(StockDaily[Adjusted close],MAX(1,$A588-200+1)):E588),"n.a.")))</f>
        <v/>
      </c>
      <c r="H588" s="136" t="str">
        <f>IF($A588&gt;MIN($A$10,$A$2),"",IF($A$5="","Choose stock",IF(NOT($A$12),"Check split rule",IF(NOT(ISNUMBER(B588)),"Invalid date",IF(OR(B588&lt;=0,B588&lt;&gt;INT(B588)),"Invalid date",IF(COUNTIFS(DemoHistory[Date],B588)&lt;&gt;1,"Duplicate date",IF(AND($A588&gt;1,B588&lt;=B587),"Dates out of order",IF(NOT(ISNUMBER(C588)),"Missing price",IF(C588&lt;=0,"Nonpositive price","OK")))))))))</f>
        <v/>
      </c>
      <c r="I588" s="136"/>
      <c r="J588" s="136"/>
      <c r="K588" s="136"/>
      <c r="L588" s="136"/>
      <c r="M588" s="136"/>
      <c r="N588" s="136" t="e">
        <f t="shared" si="25"/>
        <v>#N/A</v>
      </c>
      <c r="O588" s="136" t="e">
        <f t="shared" si="26"/>
        <v>#N/A</v>
      </c>
    </row>
    <row r="589" spans="1:15" ht="22.05" customHeight="1" x14ac:dyDescent="0.3">
      <c r="A589" s="136">
        <v>545</v>
      </c>
      <c r="B589" s="165" t="str">
        <f>IF($A589&gt;MIN($A$10,$A$2),"",INDEX(DemoHistory[Date],$A589))</f>
        <v/>
      </c>
      <c r="C589" s="166" t="str">
        <f>IF(OR($A589&gt;MIN($A$10,$A$2),$A$5=""),"",INDEX(DemoHistory[],$A589,MATCH($A$5,DemoHistory[#Headers],0)))</f>
        <v/>
      </c>
      <c r="D589" s="166" t="str">
        <f>IF($A589&gt;MIN($A$10,$A$2),"",IF(AND($A$12,$A$6=1,B589&lt;$A$7,$A$7&lt;=MAX(DemoHistory[Date])),$A$8,1))</f>
        <v/>
      </c>
      <c r="E589" s="166" t="str">
        <f t="shared" si="24"/>
        <v/>
      </c>
      <c r="F589" s="166" t="str">
        <f>IF($A589&gt;MIN($A$10,$A$2),"",IF($A589&lt;50,"n.a.",IF(COUNT(INDEX(StockDaily[Adjusted close],MAX(1,$A589-50+1)):E589)=50,AVERAGE(INDEX(StockDaily[Adjusted close],MAX(1,$A589-50+1)):E589),"n.a.")))</f>
        <v/>
      </c>
      <c r="G589" s="166" t="str">
        <f>IF($A589&gt;MIN($A$10,$A$2),"",IF($A589&lt;200,"n.a.",IF(COUNT(INDEX(StockDaily[Adjusted close],MAX(1,$A589-200+1)):E589)=200,AVERAGE(INDEX(StockDaily[Adjusted close],MAX(1,$A589-200+1)):E589),"n.a.")))</f>
        <v/>
      </c>
      <c r="H589" s="136" t="str">
        <f>IF($A589&gt;MIN($A$10,$A$2),"",IF($A$5="","Choose stock",IF(NOT($A$12),"Check split rule",IF(NOT(ISNUMBER(B589)),"Invalid date",IF(OR(B589&lt;=0,B589&lt;&gt;INT(B589)),"Invalid date",IF(COUNTIFS(DemoHistory[Date],B589)&lt;&gt;1,"Duplicate date",IF(AND($A589&gt;1,B589&lt;=B588),"Dates out of order",IF(NOT(ISNUMBER(C589)),"Missing price",IF(C589&lt;=0,"Nonpositive price","OK")))))))))</f>
        <v/>
      </c>
      <c r="I589" s="136"/>
      <c r="J589" s="136"/>
      <c r="K589" s="136"/>
      <c r="L589" s="136"/>
      <c r="M589" s="136"/>
      <c r="N589" s="136" t="e">
        <f t="shared" si="25"/>
        <v>#N/A</v>
      </c>
      <c r="O589" s="136" t="e">
        <f t="shared" si="26"/>
        <v>#N/A</v>
      </c>
    </row>
    <row r="590" spans="1:15" ht="22.05" customHeight="1" x14ac:dyDescent="0.3">
      <c r="A590" s="136">
        <v>546</v>
      </c>
      <c r="B590" s="165" t="str">
        <f>IF($A590&gt;MIN($A$10,$A$2),"",INDEX(DemoHistory[Date],$A590))</f>
        <v/>
      </c>
      <c r="C590" s="166" t="str">
        <f>IF(OR($A590&gt;MIN($A$10,$A$2),$A$5=""),"",INDEX(DemoHistory[],$A590,MATCH($A$5,DemoHistory[#Headers],0)))</f>
        <v/>
      </c>
      <c r="D590" s="166" t="str">
        <f>IF($A590&gt;MIN($A$10,$A$2),"",IF(AND($A$12,$A$6=1,B590&lt;$A$7,$A$7&lt;=MAX(DemoHistory[Date])),$A$8,1))</f>
        <v/>
      </c>
      <c r="E590" s="166" t="str">
        <f t="shared" si="24"/>
        <v/>
      </c>
      <c r="F590" s="166" t="str">
        <f>IF($A590&gt;MIN($A$10,$A$2),"",IF($A590&lt;50,"n.a.",IF(COUNT(INDEX(StockDaily[Adjusted close],MAX(1,$A590-50+1)):E590)=50,AVERAGE(INDEX(StockDaily[Adjusted close],MAX(1,$A590-50+1)):E590),"n.a.")))</f>
        <v/>
      </c>
      <c r="G590" s="166" t="str">
        <f>IF($A590&gt;MIN($A$10,$A$2),"",IF($A590&lt;200,"n.a.",IF(COUNT(INDEX(StockDaily[Adjusted close],MAX(1,$A590-200+1)):E590)=200,AVERAGE(INDEX(StockDaily[Adjusted close],MAX(1,$A590-200+1)):E590),"n.a.")))</f>
        <v/>
      </c>
      <c r="H590" s="136" t="str">
        <f>IF($A590&gt;MIN($A$10,$A$2),"",IF($A$5="","Choose stock",IF(NOT($A$12),"Check split rule",IF(NOT(ISNUMBER(B590)),"Invalid date",IF(OR(B590&lt;=0,B590&lt;&gt;INT(B590)),"Invalid date",IF(COUNTIFS(DemoHistory[Date],B590)&lt;&gt;1,"Duplicate date",IF(AND($A590&gt;1,B590&lt;=B589),"Dates out of order",IF(NOT(ISNUMBER(C590)),"Missing price",IF(C590&lt;=0,"Nonpositive price","OK")))))))))</f>
        <v/>
      </c>
      <c r="I590" s="136"/>
      <c r="J590" s="136"/>
      <c r="K590" s="136"/>
      <c r="L590" s="136"/>
      <c r="M590" s="136"/>
      <c r="N590" s="136" t="e">
        <f t="shared" si="25"/>
        <v>#N/A</v>
      </c>
      <c r="O590" s="136" t="e">
        <f t="shared" si="26"/>
        <v>#N/A</v>
      </c>
    </row>
    <row r="591" spans="1:15" ht="22.05" customHeight="1" x14ac:dyDescent="0.3">
      <c r="A591" s="136">
        <v>547</v>
      </c>
      <c r="B591" s="165" t="str">
        <f>IF($A591&gt;MIN($A$10,$A$2),"",INDEX(DemoHistory[Date],$A591))</f>
        <v/>
      </c>
      <c r="C591" s="166" t="str">
        <f>IF(OR($A591&gt;MIN($A$10,$A$2),$A$5=""),"",INDEX(DemoHistory[],$A591,MATCH($A$5,DemoHistory[#Headers],0)))</f>
        <v/>
      </c>
      <c r="D591" s="166" t="str">
        <f>IF($A591&gt;MIN($A$10,$A$2),"",IF(AND($A$12,$A$6=1,B591&lt;$A$7,$A$7&lt;=MAX(DemoHistory[Date])),$A$8,1))</f>
        <v/>
      </c>
      <c r="E591" s="166" t="str">
        <f t="shared" si="24"/>
        <v/>
      </c>
      <c r="F591" s="166" t="str">
        <f>IF($A591&gt;MIN($A$10,$A$2),"",IF($A591&lt;50,"n.a.",IF(COUNT(INDEX(StockDaily[Adjusted close],MAX(1,$A591-50+1)):E591)=50,AVERAGE(INDEX(StockDaily[Adjusted close],MAX(1,$A591-50+1)):E591),"n.a.")))</f>
        <v/>
      </c>
      <c r="G591" s="166" t="str">
        <f>IF($A591&gt;MIN($A$10,$A$2),"",IF($A591&lt;200,"n.a.",IF(COUNT(INDEX(StockDaily[Adjusted close],MAX(1,$A591-200+1)):E591)=200,AVERAGE(INDEX(StockDaily[Adjusted close],MAX(1,$A591-200+1)):E591),"n.a.")))</f>
        <v/>
      </c>
      <c r="H591" s="136" t="str">
        <f>IF($A591&gt;MIN($A$10,$A$2),"",IF($A$5="","Choose stock",IF(NOT($A$12),"Check split rule",IF(NOT(ISNUMBER(B591)),"Invalid date",IF(OR(B591&lt;=0,B591&lt;&gt;INT(B591)),"Invalid date",IF(COUNTIFS(DemoHistory[Date],B591)&lt;&gt;1,"Duplicate date",IF(AND($A591&gt;1,B591&lt;=B590),"Dates out of order",IF(NOT(ISNUMBER(C591)),"Missing price",IF(C591&lt;=0,"Nonpositive price","OK")))))))))</f>
        <v/>
      </c>
      <c r="I591" s="136"/>
      <c r="J591" s="136"/>
      <c r="K591" s="136"/>
      <c r="L591" s="136"/>
      <c r="M591" s="136"/>
      <c r="N591" s="136" t="e">
        <f t="shared" si="25"/>
        <v>#N/A</v>
      </c>
      <c r="O591" s="136" t="e">
        <f t="shared" si="26"/>
        <v>#N/A</v>
      </c>
    </row>
    <row r="592" spans="1:15" ht="22.05" customHeight="1" x14ac:dyDescent="0.3">
      <c r="A592" s="136">
        <v>548</v>
      </c>
      <c r="B592" s="165" t="str">
        <f>IF($A592&gt;MIN($A$10,$A$2),"",INDEX(DemoHistory[Date],$A592))</f>
        <v/>
      </c>
      <c r="C592" s="166" t="str">
        <f>IF(OR($A592&gt;MIN($A$10,$A$2),$A$5=""),"",INDEX(DemoHistory[],$A592,MATCH($A$5,DemoHistory[#Headers],0)))</f>
        <v/>
      </c>
      <c r="D592" s="166" t="str">
        <f>IF($A592&gt;MIN($A$10,$A$2),"",IF(AND($A$12,$A$6=1,B592&lt;$A$7,$A$7&lt;=MAX(DemoHistory[Date])),$A$8,1))</f>
        <v/>
      </c>
      <c r="E592" s="166" t="str">
        <f t="shared" si="24"/>
        <v/>
      </c>
      <c r="F592" s="166" t="str">
        <f>IF($A592&gt;MIN($A$10,$A$2),"",IF($A592&lt;50,"n.a.",IF(COUNT(INDEX(StockDaily[Adjusted close],MAX(1,$A592-50+1)):E592)=50,AVERAGE(INDEX(StockDaily[Adjusted close],MAX(1,$A592-50+1)):E592),"n.a.")))</f>
        <v/>
      </c>
      <c r="G592" s="166" t="str">
        <f>IF($A592&gt;MIN($A$10,$A$2),"",IF($A592&lt;200,"n.a.",IF(COUNT(INDEX(StockDaily[Adjusted close],MAX(1,$A592-200+1)):E592)=200,AVERAGE(INDEX(StockDaily[Adjusted close],MAX(1,$A592-200+1)):E592),"n.a.")))</f>
        <v/>
      </c>
      <c r="H592" s="136" t="str">
        <f>IF($A592&gt;MIN($A$10,$A$2),"",IF($A$5="","Choose stock",IF(NOT($A$12),"Check split rule",IF(NOT(ISNUMBER(B592)),"Invalid date",IF(OR(B592&lt;=0,B592&lt;&gt;INT(B592)),"Invalid date",IF(COUNTIFS(DemoHistory[Date],B592)&lt;&gt;1,"Duplicate date",IF(AND($A592&gt;1,B592&lt;=B591),"Dates out of order",IF(NOT(ISNUMBER(C592)),"Missing price",IF(C592&lt;=0,"Nonpositive price","OK")))))))))</f>
        <v/>
      </c>
      <c r="I592" s="136"/>
      <c r="J592" s="136"/>
      <c r="K592" s="136"/>
      <c r="L592" s="136"/>
      <c r="M592" s="136"/>
      <c r="N592" s="136" t="e">
        <f t="shared" si="25"/>
        <v>#N/A</v>
      </c>
      <c r="O592" s="136" t="e">
        <f t="shared" si="26"/>
        <v>#N/A</v>
      </c>
    </row>
    <row r="593" spans="1:15" ht="22.05" customHeight="1" x14ac:dyDescent="0.3">
      <c r="A593" s="136">
        <v>549</v>
      </c>
      <c r="B593" s="165" t="str">
        <f>IF($A593&gt;MIN($A$10,$A$2),"",INDEX(DemoHistory[Date],$A593))</f>
        <v/>
      </c>
      <c r="C593" s="166" t="str">
        <f>IF(OR($A593&gt;MIN($A$10,$A$2),$A$5=""),"",INDEX(DemoHistory[],$A593,MATCH($A$5,DemoHistory[#Headers],0)))</f>
        <v/>
      </c>
      <c r="D593" s="166" t="str">
        <f>IF($A593&gt;MIN($A$10,$A$2),"",IF(AND($A$12,$A$6=1,B593&lt;$A$7,$A$7&lt;=MAX(DemoHistory[Date])),$A$8,1))</f>
        <v/>
      </c>
      <c r="E593" s="166" t="str">
        <f t="shared" si="24"/>
        <v/>
      </c>
      <c r="F593" s="166" t="str">
        <f>IF($A593&gt;MIN($A$10,$A$2),"",IF($A593&lt;50,"n.a.",IF(COUNT(INDEX(StockDaily[Adjusted close],MAX(1,$A593-50+1)):E593)=50,AVERAGE(INDEX(StockDaily[Adjusted close],MAX(1,$A593-50+1)):E593),"n.a.")))</f>
        <v/>
      </c>
      <c r="G593" s="166" t="str">
        <f>IF($A593&gt;MIN($A$10,$A$2),"",IF($A593&lt;200,"n.a.",IF(COUNT(INDEX(StockDaily[Adjusted close],MAX(1,$A593-200+1)):E593)=200,AVERAGE(INDEX(StockDaily[Adjusted close],MAX(1,$A593-200+1)):E593),"n.a.")))</f>
        <v/>
      </c>
      <c r="H593" s="136" t="str">
        <f>IF($A593&gt;MIN($A$10,$A$2),"",IF($A$5="","Choose stock",IF(NOT($A$12),"Check split rule",IF(NOT(ISNUMBER(B593)),"Invalid date",IF(OR(B593&lt;=0,B593&lt;&gt;INT(B593)),"Invalid date",IF(COUNTIFS(DemoHistory[Date],B593)&lt;&gt;1,"Duplicate date",IF(AND($A593&gt;1,B593&lt;=B592),"Dates out of order",IF(NOT(ISNUMBER(C593)),"Missing price",IF(C593&lt;=0,"Nonpositive price","OK")))))))))</f>
        <v/>
      </c>
      <c r="I593" s="136"/>
      <c r="J593" s="136"/>
      <c r="K593" s="136"/>
      <c r="L593" s="136"/>
      <c r="M593" s="136"/>
      <c r="N593" s="136" t="e">
        <f t="shared" si="25"/>
        <v>#N/A</v>
      </c>
      <c r="O593" s="136" t="e">
        <f t="shared" si="26"/>
        <v>#N/A</v>
      </c>
    </row>
    <row r="594" spans="1:15" ht="22.05" customHeight="1" x14ac:dyDescent="0.3">
      <c r="A594" s="136">
        <v>550</v>
      </c>
      <c r="B594" s="165" t="str">
        <f>IF($A594&gt;MIN($A$10,$A$2),"",INDEX(DemoHistory[Date],$A594))</f>
        <v/>
      </c>
      <c r="C594" s="166" t="str">
        <f>IF(OR($A594&gt;MIN($A$10,$A$2),$A$5=""),"",INDEX(DemoHistory[],$A594,MATCH($A$5,DemoHistory[#Headers],0)))</f>
        <v/>
      </c>
      <c r="D594" s="166" t="str">
        <f>IF($A594&gt;MIN($A$10,$A$2),"",IF(AND($A$12,$A$6=1,B594&lt;$A$7,$A$7&lt;=MAX(DemoHistory[Date])),$A$8,1))</f>
        <v/>
      </c>
      <c r="E594" s="166" t="str">
        <f t="shared" si="24"/>
        <v/>
      </c>
      <c r="F594" s="166" t="str">
        <f>IF($A594&gt;MIN($A$10,$A$2),"",IF($A594&lt;50,"n.a.",IF(COUNT(INDEX(StockDaily[Adjusted close],MAX(1,$A594-50+1)):E594)=50,AVERAGE(INDEX(StockDaily[Adjusted close],MAX(1,$A594-50+1)):E594),"n.a.")))</f>
        <v/>
      </c>
      <c r="G594" s="166" t="str">
        <f>IF($A594&gt;MIN($A$10,$A$2),"",IF($A594&lt;200,"n.a.",IF(COUNT(INDEX(StockDaily[Adjusted close],MAX(1,$A594-200+1)):E594)=200,AVERAGE(INDEX(StockDaily[Adjusted close],MAX(1,$A594-200+1)):E594),"n.a.")))</f>
        <v/>
      </c>
      <c r="H594" s="136" t="str">
        <f>IF($A594&gt;MIN($A$10,$A$2),"",IF($A$5="","Choose stock",IF(NOT($A$12),"Check split rule",IF(NOT(ISNUMBER(B594)),"Invalid date",IF(OR(B594&lt;=0,B594&lt;&gt;INT(B594)),"Invalid date",IF(COUNTIFS(DemoHistory[Date],B594)&lt;&gt;1,"Duplicate date",IF(AND($A594&gt;1,B594&lt;=B593),"Dates out of order",IF(NOT(ISNUMBER(C594)),"Missing price",IF(C594&lt;=0,"Nonpositive price","OK")))))))))</f>
        <v/>
      </c>
      <c r="I594" s="136"/>
      <c r="J594" s="136"/>
      <c r="K594" s="136"/>
      <c r="L594" s="136"/>
      <c r="M594" s="136"/>
      <c r="N594" s="136" t="e">
        <f t="shared" si="25"/>
        <v>#N/A</v>
      </c>
      <c r="O594" s="136" t="e">
        <f t="shared" si="26"/>
        <v>#N/A</v>
      </c>
    </row>
    <row r="595" spans="1:15" ht="22.05" customHeight="1" x14ac:dyDescent="0.3">
      <c r="A595" s="136">
        <v>551</v>
      </c>
      <c r="B595" s="165" t="str">
        <f>IF($A595&gt;MIN($A$10,$A$2),"",INDEX(DemoHistory[Date],$A595))</f>
        <v/>
      </c>
      <c r="C595" s="166" t="str">
        <f>IF(OR($A595&gt;MIN($A$10,$A$2),$A$5=""),"",INDEX(DemoHistory[],$A595,MATCH($A$5,DemoHistory[#Headers],0)))</f>
        <v/>
      </c>
      <c r="D595" s="166" t="str">
        <f>IF($A595&gt;MIN($A$10,$A$2),"",IF(AND($A$12,$A$6=1,B595&lt;$A$7,$A$7&lt;=MAX(DemoHistory[Date])),$A$8,1))</f>
        <v/>
      </c>
      <c r="E595" s="166" t="str">
        <f t="shared" si="24"/>
        <v/>
      </c>
      <c r="F595" s="166" t="str">
        <f>IF($A595&gt;MIN($A$10,$A$2),"",IF($A595&lt;50,"n.a.",IF(COUNT(INDEX(StockDaily[Adjusted close],MAX(1,$A595-50+1)):E595)=50,AVERAGE(INDEX(StockDaily[Adjusted close],MAX(1,$A595-50+1)):E595),"n.a.")))</f>
        <v/>
      </c>
      <c r="G595" s="166" t="str">
        <f>IF($A595&gt;MIN($A$10,$A$2),"",IF($A595&lt;200,"n.a.",IF(COUNT(INDEX(StockDaily[Adjusted close],MAX(1,$A595-200+1)):E595)=200,AVERAGE(INDEX(StockDaily[Adjusted close],MAX(1,$A595-200+1)):E595),"n.a.")))</f>
        <v/>
      </c>
      <c r="H595" s="136" t="str">
        <f>IF($A595&gt;MIN($A$10,$A$2),"",IF($A$5="","Choose stock",IF(NOT($A$12),"Check split rule",IF(NOT(ISNUMBER(B595)),"Invalid date",IF(OR(B595&lt;=0,B595&lt;&gt;INT(B595)),"Invalid date",IF(COUNTIFS(DemoHistory[Date],B595)&lt;&gt;1,"Duplicate date",IF(AND($A595&gt;1,B595&lt;=B594),"Dates out of order",IF(NOT(ISNUMBER(C595)),"Missing price",IF(C595&lt;=0,"Nonpositive price","OK")))))))))</f>
        <v/>
      </c>
      <c r="I595" s="136"/>
      <c r="J595" s="136"/>
      <c r="K595" s="136"/>
      <c r="L595" s="136"/>
      <c r="M595" s="136"/>
      <c r="N595" s="136" t="e">
        <f t="shared" si="25"/>
        <v>#N/A</v>
      </c>
      <c r="O595" s="136" t="e">
        <f t="shared" si="26"/>
        <v>#N/A</v>
      </c>
    </row>
    <row r="596" spans="1:15" ht="22.05" customHeight="1" x14ac:dyDescent="0.3">
      <c r="A596" s="136">
        <v>552</v>
      </c>
      <c r="B596" s="165" t="str">
        <f>IF($A596&gt;MIN($A$10,$A$2),"",INDEX(DemoHistory[Date],$A596))</f>
        <v/>
      </c>
      <c r="C596" s="166" t="str">
        <f>IF(OR($A596&gt;MIN($A$10,$A$2),$A$5=""),"",INDEX(DemoHistory[],$A596,MATCH($A$5,DemoHistory[#Headers],0)))</f>
        <v/>
      </c>
      <c r="D596" s="166" t="str">
        <f>IF($A596&gt;MIN($A$10,$A$2),"",IF(AND($A$12,$A$6=1,B596&lt;$A$7,$A$7&lt;=MAX(DemoHistory[Date])),$A$8,1))</f>
        <v/>
      </c>
      <c r="E596" s="166" t="str">
        <f t="shared" si="24"/>
        <v/>
      </c>
      <c r="F596" s="166" t="str">
        <f>IF($A596&gt;MIN($A$10,$A$2),"",IF($A596&lt;50,"n.a.",IF(COUNT(INDEX(StockDaily[Adjusted close],MAX(1,$A596-50+1)):E596)=50,AVERAGE(INDEX(StockDaily[Adjusted close],MAX(1,$A596-50+1)):E596),"n.a.")))</f>
        <v/>
      </c>
      <c r="G596" s="166" t="str">
        <f>IF($A596&gt;MIN($A$10,$A$2),"",IF($A596&lt;200,"n.a.",IF(COUNT(INDEX(StockDaily[Adjusted close],MAX(1,$A596-200+1)):E596)=200,AVERAGE(INDEX(StockDaily[Adjusted close],MAX(1,$A596-200+1)):E596),"n.a.")))</f>
        <v/>
      </c>
      <c r="H596" s="136" t="str">
        <f>IF($A596&gt;MIN($A$10,$A$2),"",IF($A$5="","Choose stock",IF(NOT($A$12),"Check split rule",IF(NOT(ISNUMBER(B596)),"Invalid date",IF(OR(B596&lt;=0,B596&lt;&gt;INT(B596)),"Invalid date",IF(COUNTIFS(DemoHistory[Date],B596)&lt;&gt;1,"Duplicate date",IF(AND($A596&gt;1,B596&lt;=B595),"Dates out of order",IF(NOT(ISNUMBER(C596)),"Missing price",IF(C596&lt;=0,"Nonpositive price","OK")))))))))</f>
        <v/>
      </c>
      <c r="I596" s="136"/>
      <c r="J596" s="136"/>
      <c r="K596" s="136"/>
      <c r="L596" s="136"/>
      <c r="M596" s="136"/>
      <c r="N596" s="136" t="e">
        <f t="shared" si="25"/>
        <v>#N/A</v>
      </c>
      <c r="O596" s="136" t="e">
        <f t="shared" si="26"/>
        <v>#N/A</v>
      </c>
    </row>
    <row r="597" spans="1:15" ht="22.05" customHeight="1" x14ac:dyDescent="0.3">
      <c r="A597" s="136">
        <v>553</v>
      </c>
      <c r="B597" s="165" t="str">
        <f>IF($A597&gt;MIN($A$10,$A$2),"",INDEX(DemoHistory[Date],$A597))</f>
        <v/>
      </c>
      <c r="C597" s="166" t="str">
        <f>IF(OR($A597&gt;MIN($A$10,$A$2),$A$5=""),"",INDEX(DemoHistory[],$A597,MATCH($A$5,DemoHistory[#Headers],0)))</f>
        <v/>
      </c>
      <c r="D597" s="166" t="str">
        <f>IF($A597&gt;MIN($A$10,$A$2),"",IF(AND($A$12,$A$6=1,B597&lt;$A$7,$A$7&lt;=MAX(DemoHistory[Date])),$A$8,1))</f>
        <v/>
      </c>
      <c r="E597" s="166" t="str">
        <f t="shared" si="24"/>
        <v/>
      </c>
      <c r="F597" s="166" t="str">
        <f>IF($A597&gt;MIN($A$10,$A$2),"",IF($A597&lt;50,"n.a.",IF(COUNT(INDEX(StockDaily[Adjusted close],MAX(1,$A597-50+1)):E597)=50,AVERAGE(INDEX(StockDaily[Adjusted close],MAX(1,$A597-50+1)):E597),"n.a.")))</f>
        <v/>
      </c>
      <c r="G597" s="166" t="str">
        <f>IF($A597&gt;MIN($A$10,$A$2),"",IF($A597&lt;200,"n.a.",IF(COUNT(INDEX(StockDaily[Adjusted close],MAX(1,$A597-200+1)):E597)=200,AVERAGE(INDEX(StockDaily[Adjusted close],MAX(1,$A597-200+1)):E597),"n.a.")))</f>
        <v/>
      </c>
      <c r="H597" s="136" t="str">
        <f>IF($A597&gt;MIN($A$10,$A$2),"",IF($A$5="","Choose stock",IF(NOT($A$12),"Check split rule",IF(NOT(ISNUMBER(B597)),"Invalid date",IF(OR(B597&lt;=0,B597&lt;&gt;INT(B597)),"Invalid date",IF(COUNTIFS(DemoHistory[Date],B597)&lt;&gt;1,"Duplicate date",IF(AND($A597&gt;1,B597&lt;=B596),"Dates out of order",IF(NOT(ISNUMBER(C597)),"Missing price",IF(C597&lt;=0,"Nonpositive price","OK")))))))))</f>
        <v/>
      </c>
      <c r="I597" s="136"/>
      <c r="J597" s="136"/>
      <c r="K597" s="136"/>
      <c r="L597" s="136"/>
      <c r="M597" s="136"/>
      <c r="N597" s="136" t="e">
        <f t="shared" si="25"/>
        <v>#N/A</v>
      </c>
      <c r="O597" s="136" t="e">
        <f t="shared" si="26"/>
        <v>#N/A</v>
      </c>
    </row>
    <row r="598" spans="1:15" ht="22.05" customHeight="1" x14ac:dyDescent="0.3">
      <c r="A598" s="136">
        <v>554</v>
      </c>
      <c r="B598" s="165" t="str">
        <f>IF($A598&gt;MIN($A$10,$A$2),"",INDEX(DemoHistory[Date],$A598))</f>
        <v/>
      </c>
      <c r="C598" s="166" t="str">
        <f>IF(OR($A598&gt;MIN($A$10,$A$2),$A$5=""),"",INDEX(DemoHistory[],$A598,MATCH($A$5,DemoHistory[#Headers],0)))</f>
        <v/>
      </c>
      <c r="D598" s="166" t="str">
        <f>IF($A598&gt;MIN($A$10,$A$2),"",IF(AND($A$12,$A$6=1,B598&lt;$A$7,$A$7&lt;=MAX(DemoHistory[Date])),$A$8,1))</f>
        <v/>
      </c>
      <c r="E598" s="166" t="str">
        <f t="shared" si="24"/>
        <v/>
      </c>
      <c r="F598" s="166" t="str">
        <f>IF($A598&gt;MIN($A$10,$A$2),"",IF($A598&lt;50,"n.a.",IF(COUNT(INDEX(StockDaily[Adjusted close],MAX(1,$A598-50+1)):E598)=50,AVERAGE(INDEX(StockDaily[Adjusted close],MAX(1,$A598-50+1)):E598),"n.a.")))</f>
        <v/>
      </c>
      <c r="G598" s="166" t="str">
        <f>IF($A598&gt;MIN($A$10,$A$2),"",IF($A598&lt;200,"n.a.",IF(COUNT(INDEX(StockDaily[Adjusted close],MAX(1,$A598-200+1)):E598)=200,AVERAGE(INDEX(StockDaily[Adjusted close],MAX(1,$A598-200+1)):E598),"n.a.")))</f>
        <v/>
      </c>
      <c r="H598" s="136" t="str">
        <f>IF($A598&gt;MIN($A$10,$A$2),"",IF($A$5="","Choose stock",IF(NOT($A$12),"Check split rule",IF(NOT(ISNUMBER(B598)),"Invalid date",IF(OR(B598&lt;=0,B598&lt;&gt;INT(B598)),"Invalid date",IF(COUNTIFS(DemoHistory[Date],B598)&lt;&gt;1,"Duplicate date",IF(AND($A598&gt;1,B598&lt;=B597),"Dates out of order",IF(NOT(ISNUMBER(C598)),"Missing price",IF(C598&lt;=0,"Nonpositive price","OK")))))))))</f>
        <v/>
      </c>
      <c r="I598" s="136"/>
      <c r="J598" s="136"/>
      <c r="K598" s="136"/>
      <c r="L598" s="136"/>
      <c r="M598" s="136"/>
      <c r="N598" s="136" t="e">
        <f t="shared" si="25"/>
        <v>#N/A</v>
      </c>
      <c r="O598" s="136" t="e">
        <f t="shared" si="26"/>
        <v>#N/A</v>
      </c>
    </row>
    <row r="599" spans="1:15" ht="22.05" customHeight="1" x14ac:dyDescent="0.3">
      <c r="A599" s="136">
        <v>555</v>
      </c>
      <c r="B599" s="165" t="str">
        <f>IF($A599&gt;MIN($A$10,$A$2),"",INDEX(DemoHistory[Date],$A599))</f>
        <v/>
      </c>
      <c r="C599" s="166" t="str">
        <f>IF(OR($A599&gt;MIN($A$10,$A$2),$A$5=""),"",INDEX(DemoHistory[],$A599,MATCH($A$5,DemoHistory[#Headers],0)))</f>
        <v/>
      </c>
      <c r="D599" s="166" t="str">
        <f>IF($A599&gt;MIN($A$10,$A$2),"",IF(AND($A$12,$A$6=1,B599&lt;$A$7,$A$7&lt;=MAX(DemoHistory[Date])),$A$8,1))</f>
        <v/>
      </c>
      <c r="E599" s="166" t="str">
        <f t="shared" si="24"/>
        <v/>
      </c>
      <c r="F599" s="166" t="str">
        <f>IF($A599&gt;MIN($A$10,$A$2),"",IF($A599&lt;50,"n.a.",IF(COUNT(INDEX(StockDaily[Adjusted close],MAX(1,$A599-50+1)):E599)=50,AVERAGE(INDEX(StockDaily[Adjusted close],MAX(1,$A599-50+1)):E599),"n.a.")))</f>
        <v/>
      </c>
      <c r="G599" s="166" t="str">
        <f>IF($A599&gt;MIN($A$10,$A$2),"",IF($A599&lt;200,"n.a.",IF(COUNT(INDEX(StockDaily[Adjusted close],MAX(1,$A599-200+1)):E599)=200,AVERAGE(INDEX(StockDaily[Adjusted close],MAX(1,$A599-200+1)):E599),"n.a.")))</f>
        <v/>
      </c>
      <c r="H599" s="136" t="str">
        <f>IF($A599&gt;MIN($A$10,$A$2),"",IF($A$5="","Choose stock",IF(NOT($A$12),"Check split rule",IF(NOT(ISNUMBER(B599)),"Invalid date",IF(OR(B599&lt;=0,B599&lt;&gt;INT(B599)),"Invalid date",IF(COUNTIFS(DemoHistory[Date],B599)&lt;&gt;1,"Duplicate date",IF(AND($A599&gt;1,B599&lt;=B598),"Dates out of order",IF(NOT(ISNUMBER(C599)),"Missing price",IF(C599&lt;=0,"Nonpositive price","OK")))))))))</f>
        <v/>
      </c>
      <c r="I599" s="136"/>
      <c r="J599" s="136"/>
      <c r="K599" s="136"/>
      <c r="L599" s="136"/>
      <c r="M599" s="136"/>
      <c r="N599" s="136" t="e">
        <f t="shared" si="25"/>
        <v>#N/A</v>
      </c>
      <c r="O599" s="136" t="e">
        <f t="shared" si="26"/>
        <v>#N/A</v>
      </c>
    </row>
    <row r="600" spans="1:15" ht="22.05" customHeight="1" x14ac:dyDescent="0.3">
      <c r="A600" s="136">
        <v>556</v>
      </c>
      <c r="B600" s="165" t="str">
        <f>IF($A600&gt;MIN($A$10,$A$2),"",INDEX(DemoHistory[Date],$A600))</f>
        <v/>
      </c>
      <c r="C600" s="166" t="str">
        <f>IF(OR($A600&gt;MIN($A$10,$A$2),$A$5=""),"",INDEX(DemoHistory[],$A600,MATCH($A$5,DemoHistory[#Headers],0)))</f>
        <v/>
      </c>
      <c r="D600" s="166" t="str">
        <f>IF($A600&gt;MIN($A$10,$A$2),"",IF(AND($A$12,$A$6=1,B600&lt;$A$7,$A$7&lt;=MAX(DemoHistory[Date])),$A$8,1))</f>
        <v/>
      </c>
      <c r="E600" s="166" t="str">
        <f t="shared" si="24"/>
        <v/>
      </c>
      <c r="F600" s="166" t="str">
        <f>IF($A600&gt;MIN($A$10,$A$2),"",IF($A600&lt;50,"n.a.",IF(COUNT(INDEX(StockDaily[Adjusted close],MAX(1,$A600-50+1)):E600)=50,AVERAGE(INDEX(StockDaily[Adjusted close],MAX(1,$A600-50+1)):E600),"n.a.")))</f>
        <v/>
      </c>
      <c r="G600" s="166" t="str">
        <f>IF($A600&gt;MIN($A$10,$A$2),"",IF($A600&lt;200,"n.a.",IF(COUNT(INDEX(StockDaily[Adjusted close],MAX(1,$A600-200+1)):E600)=200,AVERAGE(INDEX(StockDaily[Adjusted close],MAX(1,$A600-200+1)):E600),"n.a.")))</f>
        <v/>
      </c>
      <c r="H600" s="136" t="str">
        <f>IF($A600&gt;MIN($A$10,$A$2),"",IF($A$5="","Choose stock",IF(NOT($A$12),"Check split rule",IF(NOT(ISNUMBER(B600)),"Invalid date",IF(OR(B600&lt;=0,B600&lt;&gt;INT(B600)),"Invalid date",IF(COUNTIFS(DemoHistory[Date],B600)&lt;&gt;1,"Duplicate date",IF(AND($A600&gt;1,B600&lt;=B599),"Dates out of order",IF(NOT(ISNUMBER(C600)),"Missing price",IF(C600&lt;=0,"Nonpositive price","OK")))))))))</f>
        <v/>
      </c>
      <c r="I600" s="136"/>
      <c r="J600" s="136"/>
      <c r="K600" s="136"/>
      <c r="L600" s="136"/>
      <c r="M600" s="136"/>
      <c r="N600" s="136" t="e">
        <f t="shared" si="25"/>
        <v>#N/A</v>
      </c>
      <c r="O600" s="136" t="e">
        <f t="shared" si="26"/>
        <v>#N/A</v>
      </c>
    </row>
    <row r="601" spans="1:15" ht="22.05" customHeight="1" x14ac:dyDescent="0.3">
      <c r="A601" s="136">
        <v>557</v>
      </c>
      <c r="B601" s="165" t="str">
        <f>IF($A601&gt;MIN($A$10,$A$2),"",INDEX(DemoHistory[Date],$A601))</f>
        <v/>
      </c>
      <c r="C601" s="166" t="str">
        <f>IF(OR($A601&gt;MIN($A$10,$A$2),$A$5=""),"",INDEX(DemoHistory[],$A601,MATCH($A$5,DemoHistory[#Headers],0)))</f>
        <v/>
      </c>
      <c r="D601" s="166" t="str">
        <f>IF($A601&gt;MIN($A$10,$A$2),"",IF(AND($A$12,$A$6=1,B601&lt;$A$7,$A$7&lt;=MAX(DemoHistory[Date])),$A$8,1))</f>
        <v/>
      </c>
      <c r="E601" s="166" t="str">
        <f t="shared" si="24"/>
        <v/>
      </c>
      <c r="F601" s="166" t="str">
        <f>IF($A601&gt;MIN($A$10,$A$2),"",IF($A601&lt;50,"n.a.",IF(COUNT(INDEX(StockDaily[Adjusted close],MAX(1,$A601-50+1)):E601)=50,AVERAGE(INDEX(StockDaily[Adjusted close],MAX(1,$A601-50+1)):E601),"n.a.")))</f>
        <v/>
      </c>
      <c r="G601" s="166" t="str">
        <f>IF($A601&gt;MIN($A$10,$A$2),"",IF($A601&lt;200,"n.a.",IF(COUNT(INDEX(StockDaily[Adjusted close],MAX(1,$A601-200+1)):E601)=200,AVERAGE(INDEX(StockDaily[Adjusted close],MAX(1,$A601-200+1)):E601),"n.a.")))</f>
        <v/>
      </c>
      <c r="H601" s="136" t="str">
        <f>IF($A601&gt;MIN($A$10,$A$2),"",IF($A$5="","Choose stock",IF(NOT($A$12),"Check split rule",IF(NOT(ISNUMBER(B601)),"Invalid date",IF(OR(B601&lt;=0,B601&lt;&gt;INT(B601)),"Invalid date",IF(COUNTIFS(DemoHistory[Date],B601)&lt;&gt;1,"Duplicate date",IF(AND($A601&gt;1,B601&lt;=B600),"Dates out of order",IF(NOT(ISNUMBER(C601)),"Missing price",IF(C601&lt;=0,"Nonpositive price","OK")))))))))</f>
        <v/>
      </c>
      <c r="I601" s="136"/>
      <c r="J601" s="136"/>
      <c r="K601" s="136"/>
      <c r="L601" s="136"/>
      <c r="M601" s="136"/>
      <c r="N601" s="136" t="e">
        <f t="shared" si="25"/>
        <v>#N/A</v>
      </c>
      <c r="O601" s="136" t="e">
        <f t="shared" si="26"/>
        <v>#N/A</v>
      </c>
    </row>
    <row r="602" spans="1:15" ht="22.05" customHeight="1" x14ac:dyDescent="0.3">
      <c r="A602" s="136">
        <v>558</v>
      </c>
      <c r="B602" s="165" t="str">
        <f>IF($A602&gt;MIN($A$10,$A$2),"",INDEX(DemoHistory[Date],$A602))</f>
        <v/>
      </c>
      <c r="C602" s="166" t="str">
        <f>IF(OR($A602&gt;MIN($A$10,$A$2),$A$5=""),"",INDEX(DemoHistory[],$A602,MATCH($A$5,DemoHistory[#Headers],0)))</f>
        <v/>
      </c>
      <c r="D602" s="166" t="str">
        <f>IF($A602&gt;MIN($A$10,$A$2),"",IF(AND($A$12,$A$6=1,B602&lt;$A$7,$A$7&lt;=MAX(DemoHistory[Date])),$A$8,1))</f>
        <v/>
      </c>
      <c r="E602" s="166" t="str">
        <f t="shared" si="24"/>
        <v/>
      </c>
      <c r="F602" s="166" t="str">
        <f>IF($A602&gt;MIN($A$10,$A$2),"",IF($A602&lt;50,"n.a.",IF(COUNT(INDEX(StockDaily[Adjusted close],MAX(1,$A602-50+1)):E602)=50,AVERAGE(INDEX(StockDaily[Adjusted close],MAX(1,$A602-50+1)):E602),"n.a.")))</f>
        <v/>
      </c>
      <c r="G602" s="166" t="str">
        <f>IF($A602&gt;MIN($A$10,$A$2),"",IF($A602&lt;200,"n.a.",IF(COUNT(INDEX(StockDaily[Adjusted close],MAX(1,$A602-200+1)):E602)=200,AVERAGE(INDEX(StockDaily[Adjusted close],MAX(1,$A602-200+1)):E602),"n.a.")))</f>
        <v/>
      </c>
      <c r="H602" s="136" t="str">
        <f>IF($A602&gt;MIN($A$10,$A$2),"",IF($A$5="","Choose stock",IF(NOT($A$12),"Check split rule",IF(NOT(ISNUMBER(B602)),"Invalid date",IF(OR(B602&lt;=0,B602&lt;&gt;INT(B602)),"Invalid date",IF(COUNTIFS(DemoHistory[Date],B602)&lt;&gt;1,"Duplicate date",IF(AND($A602&gt;1,B602&lt;=B601),"Dates out of order",IF(NOT(ISNUMBER(C602)),"Missing price",IF(C602&lt;=0,"Nonpositive price","OK")))))))))</f>
        <v/>
      </c>
      <c r="I602" s="136"/>
      <c r="J602" s="136"/>
      <c r="K602" s="136"/>
      <c r="L602" s="136"/>
      <c r="M602" s="136"/>
      <c r="N602" s="136" t="e">
        <f t="shared" si="25"/>
        <v>#N/A</v>
      </c>
      <c r="O602" s="136" t="e">
        <f t="shared" si="26"/>
        <v>#N/A</v>
      </c>
    </row>
    <row r="603" spans="1:15" ht="22.05" customHeight="1" x14ac:dyDescent="0.3">
      <c r="A603" s="136">
        <v>559</v>
      </c>
      <c r="B603" s="165" t="str">
        <f>IF($A603&gt;MIN($A$10,$A$2),"",INDEX(DemoHistory[Date],$A603))</f>
        <v/>
      </c>
      <c r="C603" s="166" t="str">
        <f>IF(OR($A603&gt;MIN($A$10,$A$2),$A$5=""),"",INDEX(DemoHistory[],$A603,MATCH($A$5,DemoHistory[#Headers],0)))</f>
        <v/>
      </c>
      <c r="D603" s="166" t="str">
        <f>IF($A603&gt;MIN($A$10,$A$2),"",IF(AND($A$12,$A$6=1,B603&lt;$A$7,$A$7&lt;=MAX(DemoHistory[Date])),$A$8,1))</f>
        <v/>
      </c>
      <c r="E603" s="166" t="str">
        <f t="shared" si="24"/>
        <v/>
      </c>
      <c r="F603" s="166" t="str">
        <f>IF($A603&gt;MIN($A$10,$A$2),"",IF($A603&lt;50,"n.a.",IF(COUNT(INDEX(StockDaily[Adjusted close],MAX(1,$A603-50+1)):E603)=50,AVERAGE(INDEX(StockDaily[Adjusted close],MAX(1,$A603-50+1)):E603),"n.a.")))</f>
        <v/>
      </c>
      <c r="G603" s="166" t="str">
        <f>IF($A603&gt;MIN($A$10,$A$2),"",IF($A603&lt;200,"n.a.",IF(COUNT(INDEX(StockDaily[Adjusted close],MAX(1,$A603-200+1)):E603)=200,AVERAGE(INDEX(StockDaily[Adjusted close],MAX(1,$A603-200+1)):E603),"n.a.")))</f>
        <v/>
      </c>
      <c r="H603" s="136" t="str">
        <f>IF($A603&gt;MIN($A$10,$A$2),"",IF($A$5="","Choose stock",IF(NOT($A$12),"Check split rule",IF(NOT(ISNUMBER(B603)),"Invalid date",IF(OR(B603&lt;=0,B603&lt;&gt;INT(B603)),"Invalid date",IF(COUNTIFS(DemoHistory[Date],B603)&lt;&gt;1,"Duplicate date",IF(AND($A603&gt;1,B603&lt;=B602),"Dates out of order",IF(NOT(ISNUMBER(C603)),"Missing price",IF(C603&lt;=0,"Nonpositive price","OK")))))))))</f>
        <v/>
      </c>
      <c r="I603" s="136"/>
      <c r="J603" s="136"/>
      <c r="K603" s="136"/>
      <c r="L603" s="136"/>
      <c r="M603" s="136"/>
      <c r="N603" s="136" t="e">
        <f t="shared" si="25"/>
        <v>#N/A</v>
      </c>
      <c r="O603" s="136" t="e">
        <f t="shared" si="26"/>
        <v>#N/A</v>
      </c>
    </row>
    <row r="604" spans="1:15" ht="22.05" customHeight="1" x14ac:dyDescent="0.3">
      <c r="A604" s="136">
        <v>560</v>
      </c>
      <c r="B604" s="165" t="str">
        <f>IF($A604&gt;MIN($A$10,$A$2),"",INDEX(DemoHistory[Date],$A604))</f>
        <v/>
      </c>
      <c r="C604" s="166" t="str">
        <f>IF(OR($A604&gt;MIN($A$10,$A$2),$A$5=""),"",INDEX(DemoHistory[],$A604,MATCH($A$5,DemoHistory[#Headers],0)))</f>
        <v/>
      </c>
      <c r="D604" s="166" t="str">
        <f>IF($A604&gt;MIN($A$10,$A$2),"",IF(AND($A$12,$A$6=1,B604&lt;$A$7,$A$7&lt;=MAX(DemoHistory[Date])),$A$8,1))</f>
        <v/>
      </c>
      <c r="E604" s="166" t="str">
        <f t="shared" si="24"/>
        <v/>
      </c>
      <c r="F604" s="166" t="str">
        <f>IF($A604&gt;MIN($A$10,$A$2),"",IF($A604&lt;50,"n.a.",IF(COUNT(INDEX(StockDaily[Adjusted close],MAX(1,$A604-50+1)):E604)=50,AVERAGE(INDEX(StockDaily[Adjusted close],MAX(1,$A604-50+1)):E604),"n.a.")))</f>
        <v/>
      </c>
      <c r="G604" s="166" t="str">
        <f>IF($A604&gt;MIN($A$10,$A$2),"",IF($A604&lt;200,"n.a.",IF(COUNT(INDEX(StockDaily[Adjusted close],MAX(1,$A604-200+1)):E604)=200,AVERAGE(INDEX(StockDaily[Adjusted close],MAX(1,$A604-200+1)):E604),"n.a.")))</f>
        <v/>
      </c>
      <c r="H604" s="136" t="str">
        <f>IF($A604&gt;MIN($A$10,$A$2),"",IF($A$5="","Choose stock",IF(NOT($A$12),"Check split rule",IF(NOT(ISNUMBER(B604)),"Invalid date",IF(OR(B604&lt;=0,B604&lt;&gt;INT(B604)),"Invalid date",IF(COUNTIFS(DemoHistory[Date],B604)&lt;&gt;1,"Duplicate date",IF(AND($A604&gt;1,B604&lt;=B603),"Dates out of order",IF(NOT(ISNUMBER(C604)),"Missing price",IF(C604&lt;=0,"Nonpositive price","OK")))))))))</f>
        <v/>
      </c>
      <c r="I604" s="136"/>
      <c r="J604" s="136"/>
      <c r="K604" s="136"/>
      <c r="L604" s="136"/>
      <c r="M604" s="136"/>
      <c r="N604" s="136" t="e">
        <f t="shared" si="25"/>
        <v>#N/A</v>
      </c>
      <c r="O604" s="136" t="e">
        <f t="shared" si="26"/>
        <v>#N/A</v>
      </c>
    </row>
    <row r="605" spans="1:15" ht="22.05" customHeight="1" x14ac:dyDescent="0.3">
      <c r="A605" s="136">
        <v>561</v>
      </c>
      <c r="B605" s="165" t="str">
        <f>IF($A605&gt;MIN($A$10,$A$2),"",INDEX(DemoHistory[Date],$A605))</f>
        <v/>
      </c>
      <c r="C605" s="166" t="str">
        <f>IF(OR($A605&gt;MIN($A$10,$A$2),$A$5=""),"",INDEX(DemoHistory[],$A605,MATCH($A$5,DemoHistory[#Headers],0)))</f>
        <v/>
      </c>
      <c r="D605" s="166" t="str">
        <f>IF($A605&gt;MIN($A$10,$A$2),"",IF(AND($A$12,$A$6=1,B605&lt;$A$7,$A$7&lt;=MAX(DemoHistory[Date])),$A$8,1))</f>
        <v/>
      </c>
      <c r="E605" s="166" t="str">
        <f t="shared" si="24"/>
        <v/>
      </c>
      <c r="F605" s="166" t="str">
        <f>IF($A605&gt;MIN($A$10,$A$2),"",IF($A605&lt;50,"n.a.",IF(COUNT(INDEX(StockDaily[Adjusted close],MAX(1,$A605-50+1)):E605)=50,AVERAGE(INDEX(StockDaily[Adjusted close],MAX(1,$A605-50+1)):E605),"n.a.")))</f>
        <v/>
      </c>
      <c r="G605" s="166" t="str">
        <f>IF($A605&gt;MIN($A$10,$A$2),"",IF($A605&lt;200,"n.a.",IF(COUNT(INDEX(StockDaily[Adjusted close],MAX(1,$A605-200+1)):E605)=200,AVERAGE(INDEX(StockDaily[Adjusted close],MAX(1,$A605-200+1)):E605),"n.a.")))</f>
        <v/>
      </c>
      <c r="H605" s="136" t="str">
        <f>IF($A605&gt;MIN($A$10,$A$2),"",IF($A$5="","Choose stock",IF(NOT($A$12),"Check split rule",IF(NOT(ISNUMBER(B605)),"Invalid date",IF(OR(B605&lt;=0,B605&lt;&gt;INT(B605)),"Invalid date",IF(COUNTIFS(DemoHistory[Date],B605)&lt;&gt;1,"Duplicate date",IF(AND($A605&gt;1,B605&lt;=B604),"Dates out of order",IF(NOT(ISNUMBER(C605)),"Missing price",IF(C605&lt;=0,"Nonpositive price","OK")))))))))</f>
        <v/>
      </c>
      <c r="I605" s="136"/>
      <c r="J605" s="136"/>
      <c r="K605" s="136"/>
      <c r="L605" s="136"/>
      <c r="M605" s="136"/>
      <c r="N605" s="136" t="e">
        <f t="shared" si="25"/>
        <v>#N/A</v>
      </c>
      <c r="O605" s="136" t="e">
        <f t="shared" si="26"/>
        <v>#N/A</v>
      </c>
    </row>
    <row r="606" spans="1:15" ht="22.05" customHeight="1" x14ac:dyDescent="0.3">
      <c r="A606" s="136">
        <v>562</v>
      </c>
      <c r="B606" s="165" t="str">
        <f>IF($A606&gt;MIN($A$10,$A$2),"",INDEX(DemoHistory[Date],$A606))</f>
        <v/>
      </c>
      <c r="C606" s="166" t="str">
        <f>IF(OR($A606&gt;MIN($A$10,$A$2),$A$5=""),"",INDEX(DemoHistory[],$A606,MATCH($A$5,DemoHistory[#Headers],0)))</f>
        <v/>
      </c>
      <c r="D606" s="166" t="str">
        <f>IF($A606&gt;MIN($A$10,$A$2),"",IF(AND($A$12,$A$6=1,B606&lt;$A$7,$A$7&lt;=MAX(DemoHistory[Date])),$A$8,1))</f>
        <v/>
      </c>
      <c r="E606" s="166" t="str">
        <f t="shared" si="24"/>
        <v/>
      </c>
      <c r="F606" s="166" t="str">
        <f>IF($A606&gt;MIN($A$10,$A$2),"",IF($A606&lt;50,"n.a.",IF(COUNT(INDEX(StockDaily[Adjusted close],MAX(1,$A606-50+1)):E606)=50,AVERAGE(INDEX(StockDaily[Adjusted close],MAX(1,$A606-50+1)):E606),"n.a.")))</f>
        <v/>
      </c>
      <c r="G606" s="166" t="str">
        <f>IF($A606&gt;MIN($A$10,$A$2),"",IF($A606&lt;200,"n.a.",IF(COUNT(INDEX(StockDaily[Adjusted close],MAX(1,$A606-200+1)):E606)=200,AVERAGE(INDEX(StockDaily[Adjusted close],MAX(1,$A606-200+1)):E606),"n.a.")))</f>
        <v/>
      </c>
      <c r="H606" s="136" t="str">
        <f>IF($A606&gt;MIN($A$10,$A$2),"",IF($A$5="","Choose stock",IF(NOT($A$12),"Check split rule",IF(NOT(ISNUMBER(B606)),"Invalid date",IF(OR(B606&lt;=0,B606&lt;&gt;INT(B606)),"Invalid date",IF(COUNTIFS(DemoHistory[Date],B606)&lt;&gt;1,"Duplicate date",IF(AND($A606&gt;1,B606&lt;=B605),"Dates out of order",IF(NOT(ISNUMBER(C606)),"Missing price",IF(C606&lt;=0,"Nonpositive price","OK")))))))))</f>
        <v/>
      </c>
      <c r="I606" s="136"/>
      <c r="J606" s="136"/>
      <c r="K606" s="136"/>
      <c r="L606" s="136"/>
      <c r="M606" s="136"/>
      <c r="N606" s="136" t="e">
        <f t="shared" si="25"/>
        <v>#N/A</v>
      </c>
      <c r="O606" s="136" t="e">
        <f t="shared" si="26"/>
        <v>#N/A</v>
      </c>
    </row>
    <row r="607" spans="1:15" ht="22.05" customHeight="1" x14ac:dyDescent="0.3">
      <c r="A607" s="136">
        <v>563</v>
      </c>
      <c r="B607" s="165" t="str">
        <f>IF($A607&gt;MIN($A$10,$A$2),"",INDEX(DemoHistory[Date],$A607))</f>
        <v/>
      </c>
      <c r="C607" s="166" t="str">
        <f>IF(OR($A607&gt;MIN($A$10,$A$2),$A$5=""),"",INDEX(DemoHistory[],$A607,MATCH($A$5,DemoHistory[#Headers],0)))</f>
        <v/>
      </c>
      <c r="D607" s="166" t="str">
        <f>IF($A607&gt;MIN($A$10,$A$2),"",IF(AND($A$12,$A$6=1,B607&lt;$A$7,$A$7&lt;=MAX(DemoHistory[Date])),$A$8,1))</f>
        <v/>
      </c>
      <c r="E607" s="166" t="str">
        <f t="shared" si="24"/>
        <v/>
      </c>
      <c r="F607" s="166" t="str">
        <f>IF($A607&gt;MIN($A$10,$A$2),"",IF($A607&lt;50,"n.a.",IF(COUNT(INDEX(StockDaily[Adjusted close],MAX(1,$A607-50+1)):E607)=50,AVERAGE(INDEX(StockDaily[Adjusted close],MAX(1,$A607-50+1)):E607),"n.a.")))</f>
        <v/>
      </c>
      <c r="G607" s="166" t="str">
        <f>IF($A607&gt;MIN($A$10,$A$2),"",IF($A607&lt;200,"n.a.",IF(COUNT(INDEX(StockDaily[Adjusted close],MAX(1,$A607-200+1)):E607)=200,AVERAGE(INDEX(StockDaily[Adjusted close],MAX(1,$A607-200+1)):E607),"n.a.")))</f>
        <v/>
      </c>
      <c r="H607" s="136" t="str">
        <f>IF($A607&gt;MIN($A$10,$A$2),"",IF($A$5="","Choose stock",IF(NOT($A$12),"Check split rule",IF(NOT(ISNUMBER(B607)),"Invalid date",IF(OR(B607&lt;=0,B607&lt;&gt;INT(B607)),"Invalid date",IF(COUNTIFS(DemoHistory[Date],B607)&lt;&gt;1,"Duplicate date",IF(AND($A607&gt;1,B607&lt;=B606),"Dates out of order",IF(NOT(ISNUMBER(C607)),"Missing price",IF(C607&lt;=0,"Nonpositive price","OK")))))))))</f>
        <v/>
      </c>
      <c r="I607" s="136"/>
      <c r="J607" s="136"/>
      <c r="K607" s="136"/>
      <c r="L607" s="136"/>
      <c r="M607" s="136"/>
      <c r="N607" s="136" t="e">
        <f t="shared" si="25"/>
        <v>#N/A</v>
      </c>
      <c r="O607" s="136" t="e">
        <f t="shared" si="26"/>
        <v>#N/A</v>
      </c>
    </row>
    <row r="608" spans="1:15" ht="22.05" customHeight="1" x14ac:dyDescent="0.3">
      <c r="A608" s="136">
        <v>564</v>
      </c>
      <c r="B608" s="165" t="str">
        <f>IF($A608&gt;MIN($A$10,$A$2),"",INDEX(DemoHistory[Date],$A608))</f>
        <v/>
      </c>
      <c r="C608" s="166" t="str">
        <f>IF(OR($A608&gt;MIN($A$10,$A$2),$A$5=""),"",INDEX(DemoHistory[],$A608,MATCH($A$5,DemoHistory[#Headers],0)))</f>
        <v/>
      </c>
      <c r="D608" s="166" t="str">
        <f>IF($A608&gt;MIN($A$10,$A$2),"",IF(AND($A$12,$A$6=1,B608&lt;$A$7,$A$7&lt;=MAX(DemoHistory[Date])),$A$8,1))</f>
        <v/>
      </c>
      <c r="E608" s="166" t="str">
        <f t="shared" si="24"/>
        <v/>
      </c>
      <c r="F608" s="166" t="str">
        <f>IF($A608&gt;MIN($A$10,$A$2),"",IF($A608&lt;50,"n.a.",IF(COUNT(INDEX(StockDaily[Adjusted close],MAX(1,$A608-50+1)):E608)=50,AVERAGE(INDEX(StockDaily[Adjusted close],MAX(1,$A608-50+1)):E608),"n.a.")))</f>
        <v/>
      </c>
      <c r="G608" s="166" t="str">
        <f>IF($A608&gt;MIN($A$10,$A$2),"",IF($A608&lt;200,"n.a.",IF(COUNT(INDEX(StockDaily[Adjusted close],MAX(1,$A608-200+1)):E608)=200,AVERAGE(INDEX(StockDaily[Adjusted close],MAX(1,$A608-200+1)):E608),"n.a.")))</f>
        <v/>
      </c>
      <c r="H608" s="136" t="str">
        <f>IF($A608&gt;MIN($A$10,$A$2),"",IF($A$5="","Choose stock",IF(NOT($A$12),"Check split rule",IF(NOT(ISNUMBER(B608)),"Invalid date",IF(OR(B608&lt;=0,B608&lt;&gt;INT(B608)),"Invalid date",IF(COUNTIFS(DemoHistory[Date],B608)&lt;&gt;1,"Duplicate date",IF(AND($A608&gt;1,B608&lt;=B607),"Dates out of order",IF(NOT(ISNUMBER(C608)),"Missing price",IF(C608&lt;=0,"Nonpositive price","OK")))))))))</f>
        <v/>
      </c>
      <c r="I608" s="136"/>
      <c r="J608" s="136"/>
      <c r="K608" s="136"/>
      <c r="L608" s="136"/>
      <c r="M608" s="136"/>
      <c r="N608" s="136" t="e">
        <f t="shared" si="25"/>
        <v>#N/A</v>
      </c>
      <c r="O608" s="136" t="e">
        <f t="shared" si="26"/>
        <v>#N/A</v>
      </c>
    </row>
    <row r="609" spans="1:15" ht="22.05" customHeight="1" x14ac:dyDescent="0.3">
      <c r="A609" s="136">
        <v>565</v>
      </c>
      <c r="B609" s="165" t="str">
        <f>IF($A609&gt;MIN($A$10,$A$2),"",INDEX(DemoHistory[Date],$A609))</f>
        <v/>
      </c>
      <c r="C609" s="166" t="str">
        <f>IF(OR($A609&gt;MIN($A$10,$A$2),$A$5=""),"",INDEX(DemoHistory[],$A609,MATCH($A$5,DemoHistory[#Headers],0)))</f>
        <v/>
      </c>
      <c r="D609" s="166" t="str">
        <f>IF($A609&gt;MIN($A$10,$A$2),"",IF(AND($A$12,$A$6=1,B609&lt;$A$7,$A$7&lt;=MAX(DemoHistory[Date])),$A$8,1))</f>
        <v/>
      </c>
      <c r="E609" s="166" t="str">
        <f t="shared" si="24"/>
        <v/>
      </c>
      <c r="F609" s="166" t="str">
        <f>IF($A609&gt;MIN($A$10,$A$2),"",IF($A609&lt;50,"n.a.",IF(COUNT(INDEX(StockDaily[Adjusted close],MAX(1,$A609-50+1)):E609)=50,AVERAGE(INDEX(StockDaily[Adjusted close],MAX(1,$A609-50+1)):E609),"n.a.")))</f>
        <v/>
      </c>
      <c r="G609" s="166" t="str">
        <f>IF($A609&gt;MIN($A$10,$A$2),"",IF($A609&lt;200,"n.a.",IF(COUNT(INDEX(StockDaily[Adjusted close],MAX(1,$A609-200+1)):E609)=200,AVERAGE(INDEX(StockDaily[Adjusted close],MAX(1,$A609-200+1)):E609),"n.a.")))</f>
        <v/>
      </c>
      <c r="H609" s="136" t="str">
        <f>IF($A609&gt;MIN($A$10,$A$2),"",IF($A$5="","Choose stock",IF(NOT($A$12),"Check split rule",IF(NOT(ISNUMBER(B609)),"Invalid date",IF(OR(B609&lt;=0,B609&lt;&gt;INT(B609)),"Invalid date",IF(COUNTIFS(DemoHistory[Date],B609)&lt;&gt;1,"Duplicate date",IF(AND($A609&gt;1,B609&lt;=B608),"Dates out of order",IF(NOT(ISNUMBER(C609)),"Missing price",IF(C609&lt;=0,"Nonpositive price","OK")))))))))</f>
        <v/>
      </c>
      <c r="I609" s="136"/>
      <c r="J609" s="136"/>
      <c r="K609" s="136"/>
      <c r="L609" s="136"/>
      <c r="M609" s="136"/>
      <c r="N609" s="136" t="e">
        <f t="shared" si="25"/>
        <v>#N/A</v>
      </c>
      <c r="O609" s="136" t="e">
        <f t="shared" si="26"/>
        <v>#N/A</v>
      </c>
    </row>
    <row r="610" spans="1:15" ht="22.05" customHeight="1" x14ac:dyDescent="0.3">
      <c r="A610" s="136">
        <v>566</v>
      </c>
      <c r="B610" s="165" t="str">
        <f>IF($A610&gt;MIN($A$10,$A$2),"",INDEX(DemoHistory[Date],$A610))</f>
        <v/>
      </c>
      <c r="C610" s="166" t="str">
        <f>IF(OR($A610&gt;MIN($A$10,$A$2),$A$5=""),"",INDEX(DemoHistory[],$A610,MATCH($A$5,DemoHistory[#Headers],0)))</f>
        <v/>
      </c>
      <c r="D610" s="166" t="str">
        <f>IF($A610&gt;MIN($A$10,$A$2),"",IF(AND($A$12,$A$6=1,B610&lt;$A$7,$A$7&lt;=MAX(DemoHistory[Date])),$A$8,1))</f>
        <v/>
      </c>
      <c r="E610" s="166" t="str">
        <f t="shared" si="24"/>
        <v/>
      </c>
      <c r="F610" s="166" t="str">
        <f>IF($A610&gt;MIN($A$10,$A$2),"",IF($A610&lt;50,"n.a.",IF(COUNT(INDEX(StockDaily[Adjusted close],MAX(1,$A610-50+1)):E610)=50,AVERAGE(INDEX(StockDaily[Adjusted close],MAX(1,$A610-50+1)):E610),"n.a.")))</f>
        <v/>
      </c>
      <c r="G610" s="166" t="str">
        <f>IF($A610&gt;MIN($A$10,$A$2),"",IF($A610&lt;200,"n.a.",IF(COUNT(INDEX(StockDaily[Adjusted close],MAX(1,$A610-200+1)):E610)=200,AVERAGE(INDEX(StockDaily[Adjusted close],MAX(1,$A610-200+1)):E610),"n.a.")))</f>
        <v/>
      </c>
      <c r="H610" s="136" t="str">
        <f>IF($A610&gt;MIN($A$10,$A$2),"",IF($A$5="","Choose stock",IF(NOT($A$12),"Check split rule",IF(NOT(ISNUMBER(B610)),"Invalid date",IF(OR(B610&lt;=0,B610&lt;&gt;INT(B610)),"Invalid date",IF(COUNTIFS(DemoHistory[Date],B610)&lt;&gt;1,"Duplicate date",IF(AND($A610&gt;1,B610&lt;=B609),"Dates out of order",IF(NOT(ISNUMBER(C610)),"Missing price",IF(C610&lt;=0,"Nonpositive price","OK")))))))))</f>
        <v/>
      </c>
      <c r="I610" s="136"/>
      <c r="J610" s="136"/>
      <c r="K610" s="136"/>
      <c r="L610" s="136"/>
      <c r="M610" s="136"/>
      <c r="N610" s="136" t="e">
        <f t="shared" si="25"/>
        <v>#N/A</v>
      </c>
      <c r="O610" s="136" t="e">
        <f t="shared" si="26"/>
        <v>#N/A</v>
      </c>
    </row>
    <row r="611" spans="1:15" ht="22.05" customHeight="1" x14ac:dyDescent="0.3">
      <c r="A611" s="136">
        <v>567</v>
      </c>
      <c r="B611" s="165" t="str">
        <f>IF($A611&gt;MIN($A$10,$A$2),"",INDEX(DemoHistory[Date],$A611))</f>
        <v/>
      </c>
      <c r="C611" s="166" t="str">
        <f>IF(OR($A611&gt;MIN($A$10,$A$2),$A$5=""),"",INDEX(DemoHistory[],$A611,MATCH($A$5,DemoHistory[#Headers],0)))</f>
        <v/>
      </c>
      <c r="D611" s="166" t="str">
        <f>IF($A611&gt;MIN($A$10,$A$2),"",IF(AND($A$12,$A$6=1,B611&lt;$A$7,$A$7&lt;=MAX(DemoHistory[Date])),$A$8,1))</f>
        <v/>
      </c>
      <c r="E611" s="166" t="str">
        <f t="shared" si="24"/>
        <v/>
      </c>
      <c r="F611" s="166" t="str">
        <f>IF($A611&gt;MIN($A$10,$A$2),"",IF($A611&lt;50,"n.a.",IF(COUNT(INDEX(StockDaily[Adjusted close],MAX(1,$A611-50+1)):E611)=50,AVERAGE(INDEX(StockDaily[Adjusted close],MAX(1,$A611-50+1)):E611),"n.a.")))</f>
        <v/>
      </c>
      <c r="G611" s="166" t="str">
        <f>IF($A611&gt;MIN($A$10,$A$2),"",IF($A611&lt;200,"n.a.",IF(COUNT(INDEX(StockDaily[Adjusted close],MAX(1,$A611-200+1)):E611)=200,AVERAGE(INDEX(StockDaily[Adjusted close],MAX(1,$A611-200+1)):E611),"n.a.")))</f>
        <v/>
      </c>
      <c r="H611" s="136" t="str">
        <f>IF($A611&gt;MIN($A$10,$A$2),"",IF($A$5="","Choose stock",IF(NOT($A$12),"Check split rule",IF(NOT(ISNUMBER(B611)),"Invalid date",IF(OR(B611&lt;=0,B611&lt;&gt;INT(B611)),"Invalid date",IF(COUNTIFS(DemoHistory[Date],B611)&lt;&gt;1,"Duplicate date",IF(AND($A611&gt;1,B611&lt;=B610),"Dates out of order",IF(NOT(ISNUMBER(C611)),"Missing price",IF(C611&lt;=0,"Nonpositive price","OK")))))))))</f>
        <v/>
      </c>
      <c r="I611" s="136"/>
      <c r="J611" s="136"/>
      <c r="K611" s="136"/>
      <c r="L611" s="136"/>
      <c r="M611" s="136"/>
      <c r="N611" s="136" t="e">
        <f t="shared" si="25"/>
        <v>#N/A</v>
      </c>
      <c r="O611" s="136" t="e">
        <f t="shared" si="26"/>
        <v>#N/A</v>
      </c>
    </row>
    <row r="612" spans="1:15" ht="22.05" customHeight="1" x14ac:dyDescent="0.3">
      <c r="A612" s="136">
        <v>568</v>
      </c>
      <c r="B612" s="165" t="str">
        <f>IF($A612&gt;MIN($A$10,$A$2),"",INDEX(DemoHistory[Date],$A612))</f>
        <v/>
      </c>
      <c r="C612" s="166" t="str">
        <f>IF(OR($A612&gt;MIN($A$10,$A$2),$A$5=""),"",INDEX(DemoHistory[],$A612,MATCH($A$5,DemoHistory[#Headers],0)))</f>
        <v/>
      </c>
      <c r="D612" s="166" t="str">
        <f>IF($A612&gt;MIN($A$10,$A$2),"",IF(AND($A$12,$A$6=1,B612&lt;$A$7,$A$7&lt;=MAX(DemoHistory[Date])),$A$8,1))</f>
        <v/>
      </c>
      <c r="E612" s="166" t="str">
        <f t="shared" si="24"/>
        <v/>
      </c>
      <c r="F612" s="166" t="str">
        <f>IF($A612&gt;MIN($A$10,$A$2),"",IF($A612&lt;50,"n.a.",IF(COUNT(INDEX(StockDaily[Adjusted close],MAX(1,$A612-50+1)):E612)=50,AVERAGE(INDEX(StockDaily[Adjusted close],MAX(1,$A612-50+1)):E612),"n.a.")))</f>
        <v/>
      </c>
      <c r="G612" s="166" t="str">
        <f>IF($A612&gt;MIN($A$10,$A$2),"",IF($A612&lt;200,"n.a.",IF(COUNT(INDEX(StockDaily[Adjusted close],MAX(1,$A612-200+1)):E612)=200,AVERAGE(INDEX(StockDaily[Adjusted close],MAX(1,$A612-200+1)):E612),"n.a.")))</f>
        <v/>
      </c>
      <c r="H612" s="136" t="str">
        <f>IF($A612&gt;MIN($A$10,$A$2),"",IF($A$5="","Choose stock",IF(NOT($A$12),"Check split rule",IF(NOT(ISNUMBER(B612)),"Invalid date",IF(OR(B612&lt;=0,B612&lt;&gt;INT(B612)),"Invalid date",IF(COUNTIFS(DemoHistory[Date],B612)&lt;&gt;1,"Duplicate date",IF(AND($A612&gt;1,B612&lt;=B611),"Dates out of order",IF(NOT(ISNUMBER(C612)),"Missing price",IF(C612&lt;=0,"Nonpositive price","OK")))))))))</f>
        <v/>
      </c>
      <c r="I612" s="136"/>
      <c r="J612" s="136"/>
      <c r="K612" s="136"/>
      <c r="L612" s="136"/>
      <c r="M612" s="136"/>
      <c r="N612" s="136" t="e">
        <f t="shared" si="25"/>
        <v>#N/A</v>
      </c>
      <c r="O612" s="136" t="e">
        <f t="shared" si="26"/>
        <v>#N/A</v>
      </c>
    </row>
    <row r="613" spans="1:15" ht="22.05" customHeight="1" x14ac:dyDescent="0.3">
      <c r="A613" s="136">
        <v>569</v>
      </c>
      <c r="B613" s="165" t="str">
        <f>IF($A613&gt;MIN($A$10,$A$2),"",INDEX(DemoHistory[Date],$A613))</f>
        <v/>
      </c>
      <c r="C613" s="166" t="str">
        <f>IF(OR($A613&gt;MIN($A$10,$A$2),$A$5=""),"",INDEX(DemoHistory[],$A613,MATCH($A$5,DemoHistory[#Headers],0)))</f>
        <v/>
      </c>
      <c r="D613" s="166" t="str">
        <f>IF($A613&gt;MIN($A$10,$A$2),"",IF(AND($A$12,$A$6=1,B613&lt;$A$7,$A$7&lt;=MAX(DemoHistory[Date])),$A$8,1))</f>
        <v/>
      </c>
      <c r="E613" s="166" t="str">
        <f t="shared" si="24"/>
        <v/>
      </c>
      <c r="F613" s="166" t="str">
        <f>IF($A613&gt;MIN($A$10,$A$2),"",IF($A613&lt;50,"n.a.",IF(COUNT(INDEX(StockDaily[Adjusted close],MAX(1,$A613-50+1)):E613)=50,AVERAGE(INDEX(StockDaily[Adjusted close],MAX(1,$A613-50+1)):E613),"n.a.")))</f>
        <v/>
      </c>
      <c r="G613" s="166" t="str">
        <f>IF($A613&gt;MIN($A$10,$A$2),"",IF($A613&lt;200,"n.a.",IF(COUNT(INDEX(StockDaily[Adjusted close],MAX(1,$A613-200+1)):E613)=200,AVERAGE(INDEX(StockDaily[Adjusted close],MAX(1,$A613-200+1)):E613),"n.a.")))</f>
        <v/>
      </c>
      <c r="H613" s="136" t="str">
        <f>IF($A613&gt;MIN($A$10,$A$2),"",IF($A$5="","Choose stock",IF(NOT($A$12),"Check split rule",IF(NOT(ISNUMBER(B613)),"Invalid date",IF(OR(B613&lt;=0,B613&lt;&gt;INT(B613)),"Invalid date",IF(COUNTIFS(DemoHistory[Date],B613)&lt;&gt;1,"Duplicate date",IF(AND($A613&gt;1,B613&lt;=B612),"Dates out of order",IF(NOT(ISNUMBER(C613)),"Missing price",IF(C613&lt;=0,"Nonpositive price","OK")))))))))</f>
        <v/>
      </c>
      <c r="I613" s="136"/>
      <c r="J613" s="136"/>
      <c r="K613" s="136"/>
      <c r="L613" s="136"/>
      <c r="M613" s="136"/>
      <c r="N613" s="136" t="e">
        <f t="shared" si="25"/>
        <v>#N/A</v>
      </c>
      <c r="O613" s="136" t="e">
        <f t="shared" si="26"/>
        <v>#N/A</v>
      </c>
    </row>
    <row r="614" spans="1:15" ht="22.05" customHeight="1" x14ac:dyDescent="0.3">
      <c r="A614" s="136">
        <v>570</v>
      </c>
      <c r="B614" s="165" t="str">
        <f>IF($A614&gt;MIN($A$10,$A$2),"",INDEX(DemoHistory[Date],$A614))</f>
        <v/>
      </c>
      <c r="C614" s="166" t="str">
        <f>IF(OR($A614&gt;MIN($A$10,$A$2),$A$5=""),"",INDEX(DemoHistory[],$A614,MATCH($A$5,DemoHistory[#Headers],0)))</f>
        <v/>
      </c>
      <c r="D614" s="166" t="str">
        <f>IF($A614&gt;MIN($A$10,$A$2),"",IF(AND($A$12,$A$6=1,B614&lt;$A$7,$A$7&lt;=MAX(DemoHistory[Date])),$A$8,1))</f>
        <v/>
      </c>
      <c r="E614" s="166" t="str">
        <f t="shared" si="24"/>
        <v/>
      </c>
      <c r="F614" s="166" t="str">
        <f>IF($A614&gt;MIN($A$10,$A$2),"",IF($A614&lt;50,"n.a.",IF(COUNT(INDEX(StockDaily[Adjusted close],MAX(1,$A614-50+1)):E614)=50,AVERAGE(INDEX(StockDaily[Adjusted close],MAX(1,$A614-50+1)):E614),"n.a.")))</f>
        <v/>
      </c>
      <c r="G614" s="166" t="str">
        <f>IF($A614&gt;MIN($A$10,$A$2),"",IF($A614&lt;200,"n.a.",IF(COUNT(INDEX(StockDaily[Adjusted close],MAX(1,$A614-200+1)):E614)=200,AVERAGE(INDEX(StockDaily[Adjusted close],MAX(1,$A614-200+1)):E614),"n.a.")))</f>
        <v/>
      </c>
      <c r="H614" s="136" t="str">
        <f>IF($A614&gt;MIN($A$10,$A$2),"",IF($A$5="","Choose stock",IF(NOT($A$12),"Check split rule",IF(NOT(ISNUMBER(B614)),"Invalid date",IF(OR(B614&lt;=0,B614&lt;&gt;INT(B614)),"Invalid date",IF(COUNTIFS(DemoHistory[Date],B614)&lt;&gt;1,"Duplicate date",IF(AND($A614&gt;1,B614&lt;=B613),"Dates out of order",IF(NOT(ISNUMBER(C614)),"Missing price",IF(C614&lt;=0,"Nonpositive price","OK")))))))))</f>
        <v/>
      </c>
      <c r="I614" s="136"/>
      <c r="J614" s="136"/>
      <c r="K614" s="136"/>
      <c r="L614" s="136"/>
      <c r="M614" s="136"/>
      <c r="N614" s="136" t="e">
        <f t="shared" si="25"/>
        <v>#N/A</v>
      </c>
      <c r="O614" s="136" t="e">
        <f t="shared" si="26"/>
        <v>#N/A</v>
      </c>
    </row>
    <row r="615" spans="1:15" ht="22.05" customHeight="1" x14ac:dyDescent="0.3">
      <c r="A615" s="136">
        <v>571</v>
      </c>
      <c r="B615" s="165" t="str">
        <f>IF($A615&gt;MIN($A$10,$A$2),"",INDEX(DemoHistory[Date],$A615))</f>
        <v/>
      </c>
      <c r="C615" s="166" t="str">
        <f>IF(OR($A615&gt;MIN($A$10,$A$2),$A$5=""),"",INDEX(DemoHistory[],$A615,MATCH($A$5,DemoHistory[#Headers],0)))</f>
        <v/>
      </c>
      <c r="D615" s="166" t="str">
        <f>IF($A615&gt;MIN($A$10,$A$2),"",IF(AND($A$12,$A$6=1,B615&lt;$A$7,$A$7&lt;=MAX(DemoHistory[Date])),$A$8,1))</f>
        <v/>
      </c>
      <c r="E615" s="166" t="str">
        <f t="shared" si="24"/>
        <v/>
      </c>
      <c r="F615" s="166" t="str">
        <f>IF($A615&gt;MIN($A$10,$A$2),"",IF($A615&lt;50,"n.a.",IF(COUNT(INDEX(StockDaily[Adjusted close],MAX(1,$A615-50+1)):E615)=50,AVERAGE(INDEX(StockDaily[Adjusted close],MAX(1,$A615-50+1)):E615),"n.a.")))</f>
        <v/>
      </c>
      <c r="G615" s="166" t="str">
        <f>IF($A615&gt;MIN($A$10,$A$2),"",IF($A615&lt;200,"n.a.",IF(COUNT(INDEX(StockDaily[Adjusted close],MAX(1,$A615-200+1)):E615)=200,AVERAGE(INDEX(StockDaily[Adjusted close],MAX(1,$A615-200+1)):E615),"n.a.")))</f>
        <v/>
      </c>
      <c r="H615" s="136" t="str">
        <f>IF($A615&gt;MIN($A$10,$A$2),"",IF($A$5="","Choose stock",IF(NOT($A$12),"Check split rule",IF(NOT(ISNUMBER(B615)),"Invalid date",IF(OR(B615&lt;=0,B615&lt;&gt;INT(B615)),"Invalid date",IF(COUNTIFS(DemoHistory[Date],B615)&lt;&gt;1,"Duplicate date",IF(AND($A615&gt;1,B615&lt;=B614),"Dates out of order",IF(NOT(ISNUMBER(C615)),"Missing price",IF(C615&lt;=0,"Nonpositive price","OK")))))))))</f>
        <v/>
      </c>
      <c r="I615" s="136"/>
      <c r="J615" s="136"/>
      <c r="K615" s="136"/>
      <c r="L615" s="136"/>
      <c r="M615" s="136"/>
      <c r="N615" s="136" t="e">
        <f t="shared" si="25"/>
        <v>#N/A</v>
      </c>
      <c r="O615" s="136" t="e">
        <f t="shared" si="26"/>
        <v>#N/A</v>
      </c>
    </row>
    <row r="616" spans="1:15" ht="22.05" customHeight="1" x14ac:dyDescent="0.3">
      <c r="A616" s="136">
        <v>572</v>
      </c>
      <c r="B616" s="165" t="str">
        <f>IF($A616&gt;MIN($A$10,$A$2),"",INDEX(DemoHistory[Date],$A616))</f>
        <v/>
      </c>
      <c r="C616" s="166" t="str">
        <f>IF(OR($A616&gt;MIN($A$10,$A$2),$A$5=""),"",INDEX(DemoHistory[],$A616,MATCH($A$5,DemoHistory[#Headers],0)))</f>
        <v/>
      </c>
      <c r="D616" s="166" t="str">
        <f>IF($A616&gt;MIN($A$10,$A$2),"",IF(AND($A$12,$A$6=1,B616&lt;$A$7,$A$7&lt;=MAX(DemoHistory[Date])),$A$8,1))</f>
        <v/>
      </c>
      <c r="E616" s="166" t="str">
        <f t="shared" si="24"/>
        <v/>
      </c>
      <c r="F616" s="166" t="str">
        <f>IF($A616&gt;MIN($A$10,$A$2),"",IF($A616&lt;50,"n.a.",IF(COUNT(INDEX(StockDaily[Adjusted close],MAX(1,$A616-50+1)):E616)=50,AVERAGE(INDEX(StockDaily[Adjusted close],MAX(1,$A616-50+1)):E616),"n.a.")))</f>
        <v/>
      </c>
      <c r="G616" s="166" t="str">
        <f>IF($A616&gt;MIN($A$10,$A$2),"",IF($A616&lt;200,"n.a.",IF(COUNT(INDEX(StockDaily[Adjusted close],MAX(1,$A616-200+1)):E616)=200,AVERAGE(INDEX(StockDaily[Adjusted close],MAX(1,$A616-200+1)):E616),"n.a.")))</f>
        <v/>
      </c>
      <c r="H616" s="136" t="str">
        <f>IF($A616&gt;MIN($A$10,$A$2),"",IF($A$5="","Choose stock",IF(NOT($A$12),"Check split rule",IF(NOT(ISNUMBER(B616)),"Invalid date",IF(OR(B616&lt;=0,B616&lt;&gt;INT(B616)),"Invalid date",IF(COUNTIFS(DemoHistory[Date],B616)&lt;&gt;1,"Duplicate date",IF(AND($A616&gt;1,B616&lt;=B615),"Dates out of order",IF(NOT(ISNUMBER(C616)),"Missing price",IF(C616&lt;=0,"Nonpositive price","OK")))))))))</f>
        <v/>
      </c>
      <c r="I616" s="136"/>
      <c r="J616" s="136"/>
      <c r="K616" s="136"/>
      <c r="L616" s="136"/>
      <c r="M616" s="136"/>
      <c r="N616" s="136" t="e">
        <f t="shared" si="25"/>
        <v>#N/A</v>
      </c>
      <c r="O616" s="136" t="e">
        <f t="shared" si="26"/>
        <v>#N/A</v>
      </c>
    </row>
    <row r="617" spans="1:15" ht="22.05" customHeight="1" x14ac:dyDescent="0.3">
      <c r="A617" s="136">
        <v>573</v>
      </c>
      <c r="B617" s="165" t="str">
        <f>IF($A617&gt;MIN($A$10,$A$2),"",INDEX(DemoHistory[Date],$A617))</f>
        <v/>
      </c>
      <c r="C617" s="166" t="str">
        <f>IF(OR($A617&gt;MIN($A$10,$A$2),$A$5=""),"",INDEX(DemoHistory[],$A617,MATCH($A$5,DemoHistory[#Headers],0)))</f>
        <v/>
      </c>
      <c r="D617" s="166" t="str">
        <f>IF($A617&gt;MIN($A$10,$A$2),"",IF(AND($A$12,$A$6=1,B617&lt;$A$7,$A$7&lt;=MAX(DemoHistory[Date])),$A$8,1))</f>
        <v/>
      </c>
      <c r="E617" s="166" t="str">
        <f t="shared" si="24"/>
        <v/>
      </c>
      <c r="F617" s="166" t="str">
        <f>IF($A617&gt;MIN($A$10,$A$2),"",IF($A617&lt;50,"n.a.",IF(COUNT(INDEX(StockDaily[Adjusted close],MAX(1,$A617-50+1)):E617)=50,AVERAGE(INDEX(StockDaily[Adjusted close],MAX(1,$A617-50+1)):E617),"n.a.")))</f>
        <v/>
      </c>
      <c r="G617" s="166" t="str">
        <f>IF($A617&gt;MIN($A$10,$A$2),"",IF($A617&lt;200,"n.a.",IF(COUNT(INDEX(StockDaily[Adjusted close],MAX(1,$A617-200+1)):E617)=200,AVERAGE(INDEX(StockDaily[Adjusted close],MAX(1,$A617-200+1)):E617),"n.a.")))</f>
        <v/>
      </c>
      <c r="H617" s="136" t="str">
        <f>IF($A617&gt;MIN($A$10,$A$2),"",IF($A$5="","Choose stock",IF(NOT($A$12),"Check split rule",IF(NOT(ISNUMBER(B617)),"Invalid date",IF(OR(B617&lt;=0,B617&lt;&gt;INT(B617)),"Invalid date",IF(COUNTIFS(DemoHistory[Date],B617)&lt;&gt;1,"Duplicate date",IF(AND($A617&gt;1,B617&lt;=B616),"Dates out of order",IF(NOT(ISNUMBER(C617)),"Missing price",IF(C617&lt;=0,"Nonpositive price","OK")))))))))</f>
        <v/>
      </c>
      <c r="I617" s="136"/>
      <c r="J617" s="136"/>
      <c r="K617" s="136"/>
      <c r="L617" s="136"/>
      <c r="M617" s="136"/>
      <c r="N617" s="136" t="e">
        <f t="shared" si="25"/>
        <v>#N/A</v>
      </c>
      <c r="O617" s="136" t="e">
        <f t="shared" si="26"/>
        <v>#N/A</v>
      </c>
    </row>
    <row r="618" spans="1:15" ht="22.05" customHeight="1" x14ac:dyDescent="0.3">
      <c r="A618" s="136">
        <v>574</v>
      </c>
      <c r="B618" s="165" t="str">
        <f>IF($A618&gt;MIN($A$10,$A$2),"",INDEX(DemoHistory[Date],$A618))</f>
        <v/>
      </c>
      <c r="C618" s="166" t="str">
        <f>IF(OR($A618&gt;MIN($A$10,$A$2),$A$5=""),"",INDEX(DemoHistory[],$A618,MATCH($A$5,DemoHistory[#Headers],0)))</f>
        <v/>
      </c>
      <c r="D618" s="166" t="str">
        <f>IF($A618&gt;MIN($A$10,$A$2),"",IF(AND($A$12,$A$6=1,B618&lt;$A$7,$A$7&lt;=MAX(DemoHistory[Date])),$A$8,1))</f>
        <v/>
      </c>
      <c r="E618" s="166" t="str">
        <f t="shared" si="24"/>
        <v/>
      </c>
      <c r="F618" s="166" t="str">
        <f>IF($A618&gt;MIN($A$10,$A$2),"",IF($A618&lt;50,"n.a.",IF(COUNT(INDEX(StockDaily[Adjusted close],MAX(1,$A618-50+1)):E618)=50,AVERAGE(INDEX(StockDaily[Adjusted close],MAX(1,$A618-50+1)):E618),"n.a.")))</f>
        <v/>
      </c>
      <c r="G618" s="166" t="str">
        <f>IF($A618&gt;MIN($A$10,$A$2),"",IF($A618&lt;200,"n.a.",IF(COUNT(INDEX(StockDaily[Adjusted close],MAX(1,$A618-200+1)):E618)=200,AVERAGE(INDEX(StockDaily[Adjusted close],MAX(1,$A618-200+1)):E618),"n.a.")))</f>
        <v/>
      </c>
      <c r="H618" s="136" t="str">
        <f>IF($A618&gt;MIN($A$10,$A$2),"",IF($A$5="","Choose stock",IF(NOT($A$12),"Check split rule",IF(NOT(ISNUMBER(B618)),"Invalid date",IF(OR(B618&lt;=0,B618&lt;&gt;INT(B618)),"Invalid date",IF(COUNTIFS(DemoHistory[Date],B618)&lt;&gt;1,"Duplicate date",IF(AND($A618&gt;1,B618&lt;=B617),"Dates out of order",IF(NOT(ISNUMBER(C618)),"Missing price",IF(C618&lt;=0,"Nonpositive price","OK")))))))))</f>
        <v/>
      </c>
      <c r="I618" s="136"/>
      <c r="J618" s="136"/>
      <c r="K618" s="136"/>
      <c r="L618" s="136"/>
      <c r="M618" s="136"/>
      <c r="N618" s="136" t="e">
        <f t="shared" si="25"/>
        <v>#N/A</v>
      </c>
      <c r="O618" s="136" t="e">
        <f t="shared" si="26"/>
        <v>#N/A</v>
      </c>
    </row>
    <row r="619" spans="1:15" ht="22.05" customHeight="1" x14ac:dyDescent="0.3">
      <c r="A619" s="136">
        <v>575</v>
      </c>
      <c r="B619" s="165" t="str">
        <f>IF($A619&gt;MIN($A$10,$A$2),"",INDEX(DemoHistory[Date],$A619))</f>
        <v/>
      </c>
      <c r="C619" s="166" t="str">
        <f>IF(OR($A619&gt;MIN($A$10,$A$2),$A$5=""),"",INDEX(DemoHistory[],$A619,MATCH($A$5,DemoHistory[#Headers],0)))</f>
        <v/>
      </c>
      <c r="D619" s="166" t="str">
        <f>IF($A619&gt;MIN($A$10,$A$2),"",IF(AND($A$12,$A$6=1,B619&lt;$A$7,$A$7&lt;=MAX(DemoHistory[Date])),$A$8,1))</f>
        <v/>
      </c>
      <c r="E619" s="166" t="str">
        <f t="shared" si="24"/>
        <v/>
      </c>
      <c r="F619" s="166" t="str">
        <f>IF($A619&gt;MIN($A$10,$A$2),"",IF($A619&lt;50,"n.a.",IF(COUNT(INDEX(StockDaily[Adjusted close],MAX(1,$A619-50+1)):E619)=50,AVERAGE(INDEX(StockDaily[Adjusted close],MAX(1,$A619-50+1)):E619),"n.a.")))</f>
        <v/>
      </c>
      <c r="G619" s="166" t="str">
        <f>IF($A619&gt;MIN($A$10,$A$2),"",IF($A619&lt;200,"n.a.",IF(COUNT(INDEX(StockDaily[Adjusted close],MAX(1,$A619-200+1)):E619)=200,AVERAGE(INDEX(StockDaily[Adjusted close],MAX(1,$A619-200+1)):E619),"n.a.")))</f>
        <v/>
      </c>
      <c r="H619" s="136" t="str">
        <f>IF($A619&gt;MIN($A$10,$A$2),"",IF($A$5="","Choose stock",IF(NOT($A$12),"Check split rule",IF(NOT(ISNUMBER(B619)),"Invalid date",IF(OR(B619&lt;=0,B619&lt;&gt;INT(B619)),"Invalid date",IF(COUNTIFS(DemoHistory[Date],B619)&lt;&gt;1,"Duplicate date",IF(AND($A619&gt;1,B619&lt;=B618),"Dates out of order",IF(NOT(ISNUMBER(C619)),"Missing price",IF(C619&lt;=0,"Nonpositive price","OK")))))))))</f>
        <v/>
      </c>
      <c r="I619" s="136"/>
      <c r="J619" s="136"/>
      <c r="K619" s="136"/>
      <c r="L619" s="136"/>
      <c r="M619" s="136"/>
      <c r="N619" s="136" t="e">
        <f t="shared" si="25"/>
        <v>#N/A</v>
      </c>
      <c r="O619" s="136" t="e">
        <f t="shared" si="26"/>
        <v>#N/A</v>
      </c>
    </row>
    <row r="620" spans="1:15" ht="22.05" customHeight="1" x14ac:dyDescent="0.3">
      <c r="A620" s="136">
        <v>576</v>
      </c>
      <c r="B620" s="165" t="str">
        <f>IF($A620&gt;MIN($A$10,$A$2),"",INDEX(DemoHistory[Date],$A620))</f>
        <v/>
      </c>
      <c r="C620" s="166" t="str">
        <f>IF(OR($A620&gt;MIN($A$10,$A$2),$A$5=""),"",INDEX(DemoHistory[],$A620,MATCH($A$5,DemoHistory[#Headers],0)))</f>
        <v/>
      </c>
      <c r="D620" s="166" t="str">
        <f>IF($A620&gt;MIN($A$10,$A$2),"",IF(AND($A$12,$A$6=1,B620&lt;$A$7,$A$7&lt;=MAX(DemoHistory[Date])),$A$8,1))</f>
        <v/>
      </c>
      <c r="E620" s="166" t="str">
        <f t="shared" si="24"/>
        <v/>
      </c>
      <c r="F620" s="166" t="str">
        <f>IF($A620&gt;MIN($A$10,$A$2),"",IF($A620&lt;50,"n.a.",IF(COUNT(INDEX(StockDaily[Adjusted close],MAX(1,$A620-50+1)):E620)=50,AVERAGE(INDEX(StockDaily[Adjusted close],MAX(1,$A620-50+1)):E620),"n.a.")))</f>
        <v/>
      </c>
      <c r="G620" s="166" t="str">
        <f>IF($A620&gt;MIN($A$10,$A$2),"",IF($A620&lt;200,"n.a.",IF(COUNT(INDEX(StockDaily[Adjusted close],MAX(1,$A620-200+1)):E620)=200,AVERAGE(INDEX(StockDaily[Adjusted close],MAX(1,$A620-200+1)):E620),"n.a.")))</f>
        <v/>
      </c>
      <c r="H620" s="136" t="str">
        <f>IF($A620&gt;MIN($A$10,$A$2),"",IF($A$5="","Choose stock",IF(NOT($A$12),"Check split rule",IF(NOT(ISNUMBER(B620)),"Invalid date",IF(OR(B620&lt;=0,B620&lt;&gt;INT(B620)),"Invalid date",IF(COUNTIFS(DemoHistory[Date],B620)&lt;&gt;1,"Duplicate date",IF(AND($A620&gt;1,B620&lt;=B619),"Dates out of order",IF(NOT(ISNUMBER(C620)),"Missing price",IF(C620&lt;=0,"Nonpositive price","OK")))))))))</f>
        <v/>
      </c>
      <c r="I620" s="136"/>
      <c r="J620" s="136"/>
      <c r="K620" s="136"/>
      <c r="L620" s="136"/>
      <c r="M620" s="136"/>
      <c r="N620" s="136" t="e">
        <f t="shared" si="25"/>
        <v>#N/A</v>
      </c>
      <c r="O620" s="136" t="e">
        <f t="shared" si="26"/>
        <v>#N/A</v>
      </c>
    </row>
    <row r="621" spans="1:15" ht="22.05" customHeight="1" x14ac:dyDescent="0.3">
      <c r="A621" s="136">
        <v>577</v>
      </c>
      <c r="B621" s="165" t="str">
        <f>IF($A621&gt;MIN($A$10,$A$2),"",INDEX(DemoHistory[Date],$A621))</f>
        <v/>
      </c>
      <c r="C621" s="166" t="str">
        <f>IF(OR($A621&gt;MIN($A$10,$A$2),$A$5=""),"",INDEX(DemoHistory[],$A621,MATCH($A$5,DemoHistory[#Headers],0)))</f>
        <v/>
      </c>
      <c r="D621" s="166" t="str">
        <f>IF($A621&gt;MIN($A$10,$A$2),"",IF(AND($A$12,$A$6=1,B621&lt;$A$7,$A$7&lt;=MAX(DemoHistory[Date])),$A$8,1))</f>
        <v/>
      </c>
      <c r="E621" s="166" t="str">
        <f t="shared" ref="E621:E684" si="27">IF($A621&gt;MIN($A$10,$A$2),"",IF(H621="OK",C621/D621,"n.a."))</f>
        <v/>
      </c>
      <c r="F621" s="166" t="str">
        <f>IF($A621&gt;MIN($A$10,$A$2),"",IF($A621&lt;50,"n.a.",IF(COUNT(INDEX(StockDaily[Adjusted close],MAX(1,$A621-50+1)):E621)=50,AVERAGE(INDEX(StockDaily[Adjusted close],MAX(1,$A621-50+1)):E621),"n.a.")))</f>
        <v/>
      </c>
      <c r="G621" s="166" t="str">
        <f>IF($A621&gt;MIN($A$10,$A$2),"",IF($A621&lt;200,"n.a.",IF(COUNT(INDEX(StockDaily[Adjusted close],MAX(1,$A621-200+1)):E621)=200,AVERAGE(INDEX(StockDaily[Adjusted close],MAX(1,$A621-200+1)):E621),"n.a.")))</f>
        <v/>
      </c>
      <c r="H621" s="136" t="str">
        <f>IF($A621&gt;MIN($A$10,$A$2),"",IF($A$5="","Choose stock",IF(NOT($A$12),"Check split rule",IF(NOT(ISNUMBER(B621)),"Invalid date",IF(OR(B621&lt;=0,B621&lt;&gt;INT(B621)),"Invalid date",IF(COUNTIFS(DemoHistory[Date],B621)&lt;&gt;1,"Duplicate date",IF(AND($A621&gt;1,B621&lt;=B620),"Dates out of order",IF(NOT(ISNUMBER(C621)),"Missing price",IF(C621&lt;=0,"Nonpositive price","OK")))))))))</f>
        <v/>
      </c>
      <c r="I621" s="136"/>
      <c r="J621" s="136"/>
      <c r="K621" s="136"/>
      <c r="L621" s="136"/>
      <c r="M621" s="136"/>
      <c r="N621" s="136" t="e">
        <f t="shared" ref="N621:N684" si="28">IF(AND($A$13="Ready",ISNUMBER(E621)),E621,NA())</f>
        <v>#N/A</v>
      </c>
      <c r="O621" s="136" t="e">
        <f t="shared" ref="O621:O684" si="29">IF(AND($A$13="Ready",ISNUMBER(F621)),F621,NA())</f>
        <v>#N/A</v>
      </c>
    </row>
    <row r="622" spans="1:15" ht="22.05" customHeight="1" x14ac:dyDescent="0.3">
      <c r="A622" s="136">
        <v>578</v>
      </c>
      <c r="B622" s="165" t="str">
        <f>IF($A622&gt;MIN($A$10,$A$2),"",INDEX(DemoHistory[Date],$A622))</f>
        <v/>
      </c>
      <c r="C622" s="166" t="str">
        <f>IF(OR($A622&gt;MIN($A$10,$A$2),$A$5=""),"",INDEX(DemoHistory[],$A622,MATCH($A$5,DemoHistory[#Headers],0)))</f>
        <v/>
      </c>
      <c r="D622" s="166" t="str">
        <f>IF($A622&gt;MIN($A$10,$A$2),"",IF(AND($A$12,$A$6=1,B622&lt;$A$7,$A$7&lt;=MAX(DemoHistory[Date])),$A$8,1))</f>
        <v/>
      </c>
      <c r="E622" s="166" t="str">
        <f t="shared" si="27"/>
        <v/>
      </c>
      <c r="F622" s="166" t="str">
        <f>IF($A622&gt;MIN($A$10,$A$2),"",IF($A622&lt;50,"n.a.",IF(COUNT(INDEX(StockDaily[Adjusted close],MAX(1,$A622-50+1)):E622)=50,AVERAGE(INDEX(StockDaily[Adjusted close],MAX(1,$A622-50+1)):E622),"n.a.")))</f>
        <v/>
      </c>
      <c r="G622" s="166" t="str">
        <f>IF($A622&gt;MIN($A$10,$A$2),"",IF($A622&lt;200,"n.a.",IF(COUNT(INDEX(StockDaily[Adjusted close],MAX(1,$A622-200+1)):E622)=200,AVERAGE(INDEX(StockDaily[Adjusted close],MAX(1,$A622-200+1)):E622),"n.a.")))</f>
        <v/>
      </c>
      <c r="H622" s="136" t="str">
        <f>IF($A622&gt;MIN($A$10,$A$2),"",IF($A$5="","Choose stock",IF(NOT($A$12),"Check split rule",IF(NOT(ISNUMBER(B622)),"Invalid date",IF(OR(B622&lt;=0,B622&lt;&gt;INT(B622)),"Invalid date",IF(COUNTIFS(DemoHistory[Date],B622)&lt;&gt;1,"Duplicate date",IF(AND($A622&gt;1,B622&lt;=B621),"Dates out of order",IF(NOT(ISNUMBER(C622)),"Missing price",IF(C622&lt;=0,"Nonpositive price","OK")))))))))</f>
        <v/>
      </c>
      <c r="I622" s="136"/>
      <c r="J622" s="136"/>
      <c r="K622" s="136"/>
      <c r="L622" s="136"/>
      <c r="M622" s="136"/>
      <c r="N622" s="136" t="e">
        <f t="shared" si="28"/>
        <v>#N/A</v>
      </c>
      <c r="O622" s="136" t="e">
        <f t="shared" si="29"/>
        <v>#N/A</v>
      </c>
    </row>
    <row r="623" spans="1:15" ht="22.05" customHeight="1" x14ac:dyDescent="0.3">
      <c r="A623" s="136">
        <v>579</v>
      </c>
      <c r="B623" s="165" t="str">
        <f>IF($A623&gt;MIN($A$10,$A$2),"",INDEX(DemoHistory[Date],$A623))</f>
        <v/>
      </c>
      <c r="C623" s="166" t="str">
        <f>IF(OR($A623&gt;MIN($A$10,$A$2),$A$5=""),"",INDEX(DemoHistory[],$A623,MATCH($A$5,DemoHistory[#Headers],0)))</f>
        <v/>
      </c>
      <c r="D623" s="166" t="str">
        <f>IF($A623&gt;MIN($A$10,$A$2),"",IF(AND($A$12,$A$6=1,B623&lt;$A$7,$A$7&lt;=MAX(DemoHistory[Date])),$A$8,1))</f>
        <v/>
      </c>
      <c r="E623" s="166" t="str">
        <f t="shared" si="27"/>
        <v/>
      </c>
      <c r="F623" s="166" t="str">
        <f>IF($A623&gt;MIN($A$10,$A$2),"",IF($A623&lt;50,"n.a.",IF(COUNT(INDEX(StockDaily[Adjusted close],MAX(1,$A623-50+1)):E623)=50,AVERAGE(INDEX(StockDaily[Adjusted close],MAX(1,$A623-50+1)):E623),"n.a.")))</f>
        <v/>
      </c>
      <c r="G623" s="166" t="str">
        <f>IF($A623&gt;MIN($A$10,$A$2),"",IF($A623&lt;200,"n.a.",IF(COUNT(INDEX(StockDaily[Adjusted close],MAX(1,$A623-200+1)):E623)=200,AVERAGE(INDEX(StockDaily[Adjusted close],MAX(1,$A623-200+1)):E623),"n.a.")))</f>
        <v/>
      </c>
      <c r="H623" s="136" t="str">
        <f>IF($A623&gt;MIN($A$10,$A$2),"",IF($A$5="","Choose stock",IF(NOT($A$12),"Check split rule",IF(NOT(ISNUMBER(B623)),"Invalid date",IF(OR(B623&lt;=0,B623&lt;&gt;INT(B623)),"Invalid date",IF(COUNTIFS(DemoHistory[Date],B623)&lt;&gt;1,"Duplicate date",IF(AND($A623&gt;1,B623&lt;=B622),"Dates out of order",IF(NOT(ISNUMBER(C623)),"Missing price",IF(C623&lt;=0,"Nonpositive price","OK")))))))))</f>
        <v/>
      </c>
      <c r="I623" s="136"/>
      <c r="J623" s="136"/>
      <c r="K623" s="136"/>
      <c r="L623" s="136"/>
      <c r="M623" s="136"/>
      <c r="N623" s="136" t="e">
        <f t="shared" si="28"/>
        <v>#N/A</v>
      </c>
      <c r="O623" s="136" t="e">
        <f t="shared" si="29"/>
        <v>#N/A</v>
      </c>
    </row>
    <row r="624" spans="1:15" ht="22.05" customHeight="1" x14ac:dyDescent="0.3">
      <c r="A624" s="136">
        <v>580</v>
      </c>
      <c r="B624" s="165" t="str">
        <f>IF($A624&gt;MIN($A$10,$A$2),"",INDEX(DemoHistory[Date],$A624))</f>
        <v/>
      </c>
      <c r="C624" s="166" t="str">
        <f>IF(OR($A624&gt;MIN($A$10,$A$2),$A$5=""),"",INDEX(DemoHistory[],$A624,MATCH($A$5,DemoHistory[#Headers],0)))</f>
        <v/>
      </c>
      <c r="D624" s="166" t="str">
        <f>IF($A624&gt;MIN($A$10,$A$2),"",IF(AND($A$12,$A$6=1,B624&lt;$A$7,$A$7&lt;=MAX(DemoHistory[Date])),$A$8,1))</f>
        <v/>
      </c>
      <c r="E624" s="166" t="str">
        <f t="shared" si="27"/>
        <v/>
      </c>
      <c r="F624" s="166" t="str">
        <f>IF($A624&gt;MIN($A$10,$A$2),"",IF($A624&lt;50,"n.a.",IF(COUNT(INDEX(StockDaily[Adjusted close],MAX(1,$A624-50+1)):E624)=50,AVERAGE(INDEX(StockDaily[Adjusted close],MAX(1,$A624-50+1)):E624),"n.a.")))</f>
        <v/>
      </c>
      <c r="G624" s="166" t="str">
        <f>IF($A624&gt;MIN($A$10,$A$2),"",IF($A624&lt;200,"n.a.",IF(COUNT(INDEX(StockDaily[Adjusted close],MAX(1,$A624-200+1)):E624)=200,AVERAGE(INDEX(StockDaily[Adjusted close],MAX(1,$A624-200+1)):E624),"n.a.")))</f>
        <v/>
      </c>
      <c r="H624" s="136" t="str">
        <f>IF($A624&gt;MIN($A$10,$A$2),"",IF($A$5="","Choose stock",IF(NOT($A$12),"Check split rule",IF(NOT(ISNUMBER(B624)),"Invalid date",IF(OR(B624&lt;=0,B624&lt;&gt;INT(B624)),"Invalid date",IF(COUNTIFS(DemoHistory[Date],B624)&lt;&gt;1,"Duplicate date",IF(AND($A624&gt;1,B624&lt;=B623),"Dates out of order",IF(NOT(ISNUMBER(C624)),"Missing price",IF(C624&lt;=0,"Nonpositive price","OK")))))))))</f>
        <v/>
      </c>
      <c r="I624" s="136"/>
      <c r="J624" s="136"/>
      <c r="K624" s="136"/>
      <c r="L624" s="136"/>
      <c r="M624" s="136"/>
      <c r="N624" s="136" t="e">
        <f t="shared" si="28"/>
        <v>#N/A</v>
      </c>
      <c r="O624" s="136" t="e">
        <f t="shared" si="29"/>
        <v>#N/A</v>
      </c>
    </row>
    <row r="625" spans="1:15" ht="22.05" customHeight="1" x14ac:dyDescent="0.3">
      <c r="A625" s="136">
        <v>581</v>
      </c>
      <c r="B625" s="165" t="str">
        <f>IF($A625&gt;MIN($A$10,$A$2),"",INDEX(DemoHistory[Date],$A625))</f>
        <v/>
      </c>
      <c r="C625" s="166" t="str">
        <f>IF(OR($A625&gt;MIN($A$10,$A$2),$A$5=""),"",INDEX(DemoHistory[],$A625,MATCH($A$5,DemoHistory[#Headers],0)))</f>
        <v/>
      </c>
      <c r="D625" s="166" t="str">
        <f>IF($A625&gt;MIN($A$10,$A$2),"",IF(AND($A$12,$A$6=1,B625&lt;$A$7,$A$7&lt;=MAX(DemoHistory[Date])),$A$8,1))</f>
        <v/>
      </c>
      <c r="E625" s="166" t="str">
        <f t="shared" si="27"/>
        <v/>
      </c>
      <c r="F625" s="166" t="str">
        <f>IF($A625&gt;MIN($A$10,$A$2),"",IF($A625&lt;50,"n.a.",IF(COUNT(INDEX(StockDaily[Adjusted close],MAX(1,$A625-50+1)):E625)=50,AVERAGE(INDEX(StockDaily[Adjusted close],MAX(1,$A625-50+1)):E625),"n.a.")))</f>
        <v/>
      </c>
      <c r="G625" s="166" t="str">
        <f>IF($A625&gt;MIN($A$10,$A$2),"",IF($A625&lt;200,"n.a.",IF(COUNT(INDEX(StockDaily[Adjusted close],MAX(1,$A625-200+1)):E625)=200,AVERAGE(INDEX(StockDaily[Adjusted close],MAX(1,$A625-200+1)):E625),"n.a.")))</f>
        <v/>
      </c>
      <c r="H625" s="136" t="str">
        <f>IF($A625&gt;MIN($A$10,$A$2),"",IF($A$5="","Choose stock",IF(NOT($A$12),"Check split rule",IF(NOT(ISNUMBER(B625)),"Invalid date",IF(OR(B625&lt;=0,B625&lt;&gt;INT(B625)),"Invalid date",IF(COUNTIFS(DemoHistory[Date],B625)&lt;&gt;1,"Duplicate date",IF(AND($A625&gt;1,B625&lt;=B624),"Dates out of order",IF(NOT(ISNUMBER(C625)),"Missing price",IF(C625&lt;=0,"Nonpositive price","OK")))))))))</f>
        <v/>
      </c>
      <c r="I625" s="136"/>
      <c r="J625" s="136"/>
      <c r="K625" s="136"/>
      <c r="L625" s="136"/>
      <c r="M625" s="136"/>
      <c r="N625" s="136" t="e">
        <f t="shared" si="28"/>
        <v>#N/A</v>
      </c>
      <c r="O625" s="136" t="e">
        <f t="shared" si="29"/>
        <v>#N/A</v>
      </c>
    </row>
    <row r="626" spans="1:15" ht="22.05" customHeight="1" x14ac:dyDescent="0.3">
      <c r="A626" s="136">
        <v>582</v>
      </c>
      <c r="B626" s="165" t="str">
        <f>IF($A626&gt;MIN($A$10,$A$2),"",INDEX(DemoHistory[Date],$A626))</f>
        <v/>
      </c>
      <c r="C626" s="166" t="str">
        <f>IF(OR($A626&gt;MIN($A$10,$A$2),$A$5=""),"",INDEX(DemoHistory[],$A626,MATCH($A$5,DemoHistory[#Headers],0)))</f>
        <v/>
      </c>
      <c r="D626" s="166" t="str">
        <f>IF($A626&gt;MIN($A$10,$A$2),"",IF(AND($A$12,$A$6=1,B626&lt;$A$7,$A$7&lt;=MAX(DemoHistory[Date])),$A$8,1))</f>
        <v/>
      </c>
      <c r="E626" s="166" t="str">
        <f t="shared" si="27"/>
        <v/>
      </c>
      <c r="F626" s="166" t="str">
        <f>IF($A626&gt;MIN($A$10,$A$2),"",IF($A626&lt;50,"n.a.",IF(COUNT(INDEX(StockDaily[Adjusted close],MAX(1,$A626-50+1)):E626)=50,AVERAGE(INDEX(StockDaily[Adjusted close],MAX(1,$A626-50+1)):E626),"n.a.")))</f>
        <v/>
      </c>
      <c r="G626" s="166" t="str">
        <f>IF($A626&gt;MIN($A$10,$A$2),"",IF($A626&lt;200,"n.a.",IF(COUNT(INDEX(StockDaily[Adjusted close],MAX(1,$A626-200+1)):E626)=200,AVERAGE(INDEX(StockDaily[Adjusted close],MAX(1,$A626-200+1)):E626),"n.a.")))</f>
        <v/>
      </c>
      <c r="H626" s="136" t="str">
        <f>IF($A626&gt;MIN($A$10,$A$2),"",IF($A$5="","Choose stock",IF(NOT($A$12),"Check split rule",IF(NOT(ISNUMBER(B626)),"Invalid date",IF(OR(B626&lt;=0,B626&lt;&gt;INT(B626)),"Invalid date",IF(COUNTIFS(DemoHistory[Date],B626)&lt;&gt;1,"Duplicate date",IF(AND($A626&gt;1,B626&lt;=B625),"Dates out of order",IF(NOT(ISNUMBER(C626)),"Missing price",IF(C626&lt;=0,"Nonpositive price","OK")))))))))</f>
        <v/>
      </c>
      <c r="I626" s="136"/>
      <c r="J626" s="136"/>
      <c r="K626" s="136"/>
      <c r="L626" s="136"/>
      <c r="M626" s="136"/>
      <c r="N626" s="136" t="e">
        <f t="shared" si="28"/>
        <v>#N/A</v>
      </c>
      <c r="O626" s="136" t="e">
        <f t="shared" si="29"/>
        <v>#N/A</v>
      </c>
    </row>
    <row r="627" spans="1:15" ht="22.05" customHeight="1" x14ac:dyDescent="0.3">
      <c r="A627" s="136">
        <v>583</v>
      </c>
      <c r="B627" s="165" t="str">
        <f>IF($A627&gt;MIN($A$10,$A$2),"",INDEX(DemoHistory[Date],$A627))</f>
        <v/>
      </c>
      <c r="C627" s="166" t="str">
        <f>IF(OR($A627&gt;MIN($A$10,$A$2),$A$5=""),"",INDEX(DemoHistory[],$A627,MATCH($A$5,DemoHistory[#Headers],0)))</f>
        <v/>
      </c>
      <c r="D627" s="166" t="str">
        <f>IF($A627&gt;MIN($A$10,$A$2),"",IF(AND($A$12,$A$6=1,B627&lt;$A$7,$A$7&lt;=MAX(DemoHistory[Date])),$A$8,1))</f>
        <v/>
      </c>
      <c r="E627" s="166" t="str">
        <f t="shared" si="27"/>
        <v/>
      </c>
      <c r="F627" s="166" t="str">
        <f>IF($A627&gt;MIN($A$10,$A$2),"",IF($A627&lt;50,"n.a.",IF(COUNT(INDEX(StockDaily[Adjusted close],MAX(1,$A627-50+1)):E627)=50,AVERAGE(INDEX(StockDaily[Adjusted close],MAX(1,$A627-50+1)):E627),"n.a.")))</f>
        <v/>
      </c>
      <c r="G627" s="166" t="str">
        <f>IF($A627&gt;MIN($A$10,$A$2),"",IF($A627&lt;200,"n.a.",IF(COUNT(INDEX(StockDaily[Adjusted close],MAX(1,$A627-200+1)):E627)=200,AVERAGE(INDEX(StockDaily[Adjusted close],MAX(1,$A627-200+1)):E627),"n.a.")))</f>
        <v/>
      </c>
      <c r="H627" s="136" t="str">
        <f>IF($A627&gt;MIN($A$10,$A$2),"",IF($A$5="","Choose stock",IF(NOT($A$12),"Check split rule",IF(NOT(ISNUMBER(B627)),"Invalid date",IF(OR(B627&lt;=0,B627&lt;&gt;INT(B627)),"Invalid date",IF(COUNTIFS(DemoHistory[Date],B627)&lt;&gt;1,"Duplicate date",IF(AND($A627&gt;1,B627&lt;=B626),"Dates out of order",IF(NOT(ISNUMBER(C627)),"Missing price",IF(C627&lt;=0,"Nonpositive price","OK")))))))))</f>
        <v/>
      </c>
      <c r="I627" s="136"/>
      <c r="J627" s="136"/>
      <c r="K627" s="136"/>
      <c r="L627" s="136"/>
      <c r="M627" s="136"/>
      <c r="N627" s="136" t="e">
        <f t="shared" si="28"/>
        <v>#N/A</v>
      </c>
      <c r="O627" s="136" t="e">
        <f t="shared" si="29"/>
        <v>#N/A</v>
      </c>
    </row>
    <row r="628" spans="1:15" ht="22.05" customHeight="1" x14ac:dyDescent="0.3">
      <c r="A628" s="136">
        <v>584</v>
      </c>
      <c r="B628" s="165" t="str">
        <f>IF($A628&gt;MIN($A$10,$A$2),"",INDEX(DemoHistory[Date],$A628))</f>
        <v/>
      </c>
      <c r="C628" s="166" t="str">
        <f>IF(OR($A628&gt;MIN($A$10,$A$2),$A$5=""),"",INDEX(DemoHistory[],$A628,MATCH($A$5,DemoHistory[#Headers],0)))</f>
        <v/>
      </c>
      <c r="D628" s="166" t="str">
        <f>IF($A628&gt;MIN($A$10,$A$2),"",IF(AND($A$12,$A$6=1,B628&lt;$A$7,$A$7&lt;=MAX(DemoHistory[Date])),$A$8,1))</f>
        <v/>
      </c>
      <c r="E628" s="166" t="str">
        <f t="shared" si="27"/>
        <v/>
      </c>
      <c r="F628" s="166" t="str">
        <f>IF($A628&gt;MIN($A$10,$A$2),"",IF($A628&lt;50,"n.a.",IF(COUNT(INDEX(StockDaily[Adjusted close],MAX(1,$A628-50+1)):E628)=50,AVERAGE(INDEX(StockDaily[Adjusted close],MAX(1,$A628-50+1)):E628),"n.a.")))</f>
        <v/>
      </c>
      <c r="G628" s="166" t="str">
        <f>IF($A628&gt;MIN($A$10,$A$2),"",IF($A628&lt;200,"n.a.",IF(COUNT(INDEX(StockDaily[Adjusted close],MAX(1,$A628-200+1)):E628)=200,AVERAGE(INDEX(StockDaily[Adjusted close],MAX(1,$A628-200+1)):E628),"n.a.")))</f>
        <v/>
      </c>
      <c r="H628" s="136" t="str">
        <f>IF($A628&gt;MIN($A$10,$A$2),"",IF($A$5="","Choose stock",IF(NOT($A$12),"Check split rule",IF(NOT(ISNUMBER(B628)),"Invalid date",IF(OR(B628&lt;=0,B628&lt;&gt;INT(B628)),"Invalid date",IF(COUNTIFS(DemoHistory[Date],B628)&lt;&gt;1,"Duplicate date",IF(AND($A628&gt;1,B628&lt;=B627),"Dates out of order",IF(NOT(ISNUMBER(C628)),"Missing price",IF(C628&lt;=0,"Nonpositive price","OK")))))))))</f>
        <v/>
      </c>
      <c r="I628" s="136"/>
      <c r="J628" s="136"/>
      <c r="K628" s="136"/>
      <c r="L628" s="136"/>
      <c r="M628" s="136"/>
      <c r="N628" s="136" t="e">
        <f t="shared" si="28"/>
        <v>#N/A</v>
      </c>
      <c r="O628" s="136" t="e">
        <f t="shared" si="29"/>
        <v>#N/A</v>
      </c>
    </row>
    <row r="629" spans="1:15" ht="22.05" customHeight="1" x14ac:dyDescent="0.3">
      <c r="A629" s="136">
        <v>585</v>
      </c>
      <c r="B629" s="165" t="str">
        <f>IF($A629&gt;MIN($A$10,$A$2),"",INDEX(DemoHistory[Date],$A629))</f>
        <v/>
      </c>
      <c r="C629" s="166" t="str">
        <f>IF(OR($A629&gt;MIN($A$10,$A$2),$A$5=""),"",INDEX(DemoHistory[],$A629,MATCH($A$5,DemoHistory[#Headers],0)))</f>
        <v/>
      </c>
      <c r="D629" s="166" t="str">
        <f>IF($A629&gt;MIN($A$10,$A$2),"",IF(AND($A$12,$A$6=1,B629&lt;$A$7,$A$7&lt;=MAX(DemoHistory[Date])),$A$8,1))</f>
        <v/>
      </c>
      <c r="E629" s="166" t="str">
        <f t="shared" si="27"/>
        <v/>
      </c>
      <c r="F629" s="166" t="str">
        <f>IF($A629&gt;MIN($A$10,$A$2),"",IF($A629&lt;50,"n.a.",IF(COUNT(INDEX(StockDaily[Adjusted close],MAX(1,$A629-50+1)):E629)=50,AVERAGE(INDEX(StockDaily[Adjusted close],MAX(1,$A629-50+1)):E629),"n.a.")))</f>
        <v/>
      </c>
      <c r="G629" s="166" t="str">
        <f>IF($A629&gt;MIN($A$10,$A$2),"",IF($A629&lt;200,"n.a.",IF(COUNT(INDEX(StockDaily[Adjusted close],MAX(1,$A629-200+1)):E629)=200,AVERAGE(INDEX(StockDaily[Adjusted close],MAX(1,$A629-200+1)):E629),"n.a.")))</f>
        <v/>
      </c>
      <c r="H629" s="136" t="str">
        <f>IF($A629&gt;MIN($A$10,$A$2),"",IF($A$5="","Choose stock",IF(NOT($A$12),"Check split rule",IF(NOT(ISNUMBER(B629)),"Invalid date",IF(OR(B629&lt;=0,B629&lt;&gt;INT(B629)),"Invalid date",IF(COUNTIFS(DemoHistory[Date],B629)&lt;&gt;1,"Duplicate date",IF(AND($A629&gt;1,B629&lt;=B628),"Dates out of order",IF(NOT(ISNUMBER(C629)),"Missing price",IF(C629&lt;=0,"Nonpositive price","OK")))))))))</f>
        <v/>
      </c>
      <c r="I629" s="136"/>
      <c r="J629" s="136"/>
      <c r="K629" s="136"/>
      <c r="L629" s="136"/>
      <c r="M629" s="136"/>
      <c r="N629" s="136" t="e">
        <f t="shared" si="28"/>
        <v>#N/A</v>
      </c>
      <c r="O629" s="136" t="e">
        <f t="shared" si="29"/>
        <v>#N/A</v>
      </c>
    </row>
    <row r="630" spans="1:15" ht="22.05" customHeight="1" x14ac:dyDescent="0.3">
      <c r="A630" s="136">
        <v>586</v>
      </c>
      <c r="B630" s="165" t="str">
        <f>IF($A630&gt;MIN($A$10,$A$2),"",INDEX(DemoHistory[Date],$A630))</f>
        <v/>
      </c>
      <c r="C630" s="166" t="str">
        <f>IF(OR($A630&gt;MIN($A$10,$A$2),$A$5=""),"",INDEX(DemoHistory[],$A630,MATCH($A$5,DemoHistory[#Headers],0)))</f>
        <v/>
      </c>
      <c r="D630" s="166" t="str">
        <f>IF($A630&gt;MIN($A$10,$A$2),"",IF(AND($A$12,$A$6=1,B630&lt;$A$7,$A$7&lt;=MAX(DemoHistory[Date])),$A$8,1))</f>
        <v/>
      </c>
      <c r="E630" s="166" t="str">
        <f t="shared" si="27"/>
        <v/>
      </c>
      <c r="F630" s="166" t="str">
        <f>IF($A630&gt;MIN($A$10,$A$2),"",IF($A630&lt;50,"n.a.",IF(COUNT(INDEX(StockDaily[Adjusted close],MAX(1,$A630-50+1)):E630)=50,AVERAGE(INDEX(StockDaily[Adjusted close],MAX(1,$A630-50+1)):E630),"n.a.")))</f>
        <v/>
      </c>
      <c r="G630" s="166" t="str">
        <f>IF($A630&gt;MIN($A$10,$A$2),"",IF($A630&lt;200,"n.a.",IF(COUNT(INDEX(StockDaily[Adjusted close],MAX(1,$A630-200+1)):E630)=200,AVERAGE(INDEX(StockDaily[Adjusted close],MAX(1,$A630-200+1)):E630),"n.a.")))</f>
        <v/>
      </c>
      <c r="H630" s="136" t="str">
        <f>IF($A630&gt;MIN($A$10,$A$2),"",IF($A$5="","Choose stock",IF(NOT($A$12),"Check split rule",IF(NOT(ISNUMBER(B630)),"Invalid date",IF(OR(B630&lt;=0,B630&lt;&gt;INT(B630)),"Invalid date",IF(COUNTIFS(DemoHistory[Date],B630)&lt;&gt;1,"Duplicate date",IF(AND($A630&gt;1,B630&lt;=B629),"Dates out of order",IF(NOT(ISNUMBER(C630)),"Missing price",IF(C630&lt;=0,"Nonpositive price","OK")))))))))</f>
        <v/>
      </c>
      <c r="I630" s="136"/>
      <c r="J630" s="136"/>
      <c r="K630" s="136"/>
      <c r="L630" s="136"/>
      <c r="M630" s="136"/>
      <c r="N630" s="136" t="e">
        <f t="shared" si="28"/>
        <v>#N/A</v>
      </c>
      <c r="O630" s="136" t="e">
        <f t="shared" si="29"/>
        <v>#N/A</v>
      </c>
    </row>
    <row r="631" spans="1:15" ht="22.05" customHeight="1" x14ac:dyDescent="0.3">
      <c r="A631" s="136">
        <v>587</v>
      </c>
      <c r="B631" s="165" t="str">
        <f>IF($A631&gt;MIN($A$10,$A$2),"",INDEX(DemoHistory[Date],$A631))</f>
        <v/>
      </c>
      <c r="C631" s="166" t="str">
        <f>IF(OR($A631&gt;MIN($A$10,$A$2),$A$5=""),"",INDEX(DemoHistory[],$A631,MATCH($A$5,DemoHistory[#Headers],0)))</f>
        <v/>
      </c>
      <c r="D631" s="166" t="str">
        <f>IF($A631&gt;MIN($A$10,$A$2),"",IF(AND($A$12,$A$6=1,B631&lt;$A$7,$A$7&lt;=MAX(DemoHistory[Date])),$A$8,1))</f>
        <v/>
      </c>
      <c r="E631" s="166" t="str">
        <f t="shared" si="27"/>
        <v/>
      </c>
      <c r="F631" s="166" t="str">
        <f>IF($A631&gt;MIN($A$10,$A$2),"",IF($A631&lt;50,"n.a.",IF(COUNT(INDEX(StockDaily[Adjusted close],MAX(1,$A631-50+1)):E631)=50,AVERAGE(INDEX(StockDaily[Adjusted close],MAX(1,$A631-50+1)):E631),"n.a.")))</f>
        <v/>
      </c>
      <c r="G631" s="166" t="str">
        <f>IF($A631&gt;MIN($A$10,$A$2),"",IF($A631&lt;200,"n.a.",IF(COUNT(INDEX(StockDaily[Adjusted close],MAX(1,$A631-200+1)):E631)=200,AVERAGE(INDEX(StockDaily[Adjusted close],MAX(1,$A631-200+1)):E631),"n.a.")))</f>
        <v/>
      </c>
      <c r="H631" s="136" t="str">
        <f>IF($A631&gt;MIN($A$10,$A$2),"",IF($A$5="","Choose stock",IF(NOT($A$12),"Check split rule",IF(NOT(ISNUMBER(B631)),"Invalid date",IF(OR(B631&lt;=0,B631&lt;&gt;INT(B631)),"Invalid date",IF(COUNTIFS(DemoHistory[Date],B631)&lt;&gt;1,"Duplicate date",IF(AND($A631&gt;1,B631&lt;=B630),"Dates out of order",IF(NOT(ISNUMBER(C631)),"Missing price",IF(C631&lt;=0,"Nonpositive price","OK")))))))))</f>
        <v/>
      </c>
      <c r="I631" s="136"/>
      <c r="J631" s="136"/>
      <c r="K631" s="136"/>
      <c r="L631" s="136"/>
      <c r="M631" s="136"/>
      <c r="N631" s="136" t="e">
        <f t="shared" si="28"/>
        <v>#N/A</v>
      </c>
      <c r="O631" s="136" t="e">
        <f t="shared" si="29"/>
        <v>#N/A</v>
      </c>
    </row>
    <row r="632" spans="1:15" ht="22.05" customHeight="1" x14ac:dyDescent="0.3">
      <c r="A632" s="136">
        <v>588</v>
      </c>
      <c r="B632" s="165" t="str">
        <f>IF($A632&gt;MIN($A$10,$A$2),"",INDEX(DemoHistory[Date],$A632))</f>
        <v/>
      </c>
      <c r="C632" s="166" t="str">
        <f>IF(OR($A632&gt;MIN($A$10,$A$2),$A$5=""),"",INDEX(DemoHistory[],$A632,MATCH($A$5,DemoHistory[#Headers],0)))</f>
        <v/>
      </c>
      <c r="D632" s="166" t="str">
        <f>IF($A632&gt;MIN($A$10,$A$2),"",IF(AND($A$12,$A$6=1,B632&lt;$A$7,$A$7&lt;=MAX(DemoHistory[Date])),$A$8,1))</f>
        <v/>
      </c>
      <c r="E632" s="166" t="str">
        <f t="shared" si="27"/>
        <v/>
      </c>
      <c r="F632" s="166" t="str">
        <f>IF($A632&gt;MIN($A$10,$A$2),"",IF($A632&lt;50,"n.a.",IF(COUNT(INDEX(StockDaily[Adjusted close],MAX(1,$A632-50+1)):E632)=50,AVERAGE(INDEX(StockDaily[Adjusted close],MAX(1,$A632-50+1)):E632),"n.a.")))</f>
        <v/>
      </c>
      <c r="G632" s="166" t="str">
        <f>IF($A632&gt;MIN($A$10,$A$2),"",IF($A632&lt;200,"n.a.",IF(COUNT(INDEX(StockDaily[Adjusted close],MAX(1,$A632-200+1)):E632)=200,AVERAGE(INDEX(StockDaily[Adjusted close],MAX(1,$A632-200+1)):E632),"n.a.")))</f>
        <v/>
      </c>
      <c r="H632" s="136" t="str">
        <f>IF($A632&gt;MIN($A$10,$A$2),"",IF($A$5="","Choose stock",IF(NOT($A$12),"Check split rule",IF(NOT(ISNUMBER(B632)),"Invalid date",IF(OR(B632&lt;=0,B632&lt;&gt;INT(B632)),"Invalid date",IF(COUNTIFS(DemoHistory[Date],B632)&lt;&gt;1,"Duplicate date",IF(AND($A632&gt;1,B632&lt;=B631),"Dates out of order",IF(NOT(ISNUMBER(C632)),"Missing price",IF(C632&lt;=0,"Nonpositive price","OK")))))))))</f>
        <v/>
      </c>
      <c r="I632" s="136"/>
      <c r="J632" s="136"/>
      <c r="K632" s="136"/>
      <c r="L632" s="136"/>
      <c r="M632" s="136"/>
      <c r="N632" s="136" t="e">
        <f t="shared" si="28"/>
        <v>#N/A</v>
      </c>
      <c r="O632" s="136" t="e">
        <f t="shared" si="29"/>
        <v>#N/A</v>
      </c>
    </row>
    <row r="633" spans="1:15" ht="22.05" customHeight="1" x14ac:dyDescent="0.3">
      <c r="A633" s="136">
        <v>589</v>
      </c>
      <c r="B633" s="165" t="str">
        <f>IF($A633&gt;MIN($A$10,$A$2),"",INDEX(DemoHistory[Date],$A633))</f>
        <v/>
      </c>
      <c r="C633" s="166" t="str">
        <f>IF(OR($A633&gt;MIN($A$10,$A$2),$A$5=""),"",INDEX(DemoHistory[],$A633,MATCH($A$5,DemoHistory[#Headers],0)))</f>
        <v/>
      </c>
      <c r="D633" s="166" t="str">
        <f>IF($A633&gt;MIN($A$10,$A$2),"",IF(AND($A$12,$A$6=1,B633&lt;$A$7,$A$7&lt;=MAX(DemoHistory[Date])),$A$8,1))</f>
        <v/>
      </c>
      <c r="E633" s="166" t="str">
        <f t="shared" si="27"/>
        <v/>
      </c>
      <c r="F633" s="166" t="str">
        <f>IF($A633&gt;MIN($A$10,$A$2),"",IF($A633&lt;50,"n.a.",IF(COUNT(INDEX(StockDaily[Adjusted close],MAX(1,$A633-50+1)):E633)=50,AVERAGE(INDEX(StockDaily[Adjusted close],MAX(1,$A633-50+1)):E633),"n.a.")))</f>
        <v/>
      </c>
      <c r="G633" s="166" t="str">
        <f>IF($A633&gt;MIN($A$10,$A$2),"",IF($A633&lt;200,"n.a.",IF(COUNT(INDEX(StockDaily[Adjusted close],MAX(1,$A633-200+1)):E633)=200,AVERAGE(INDEX(StockDaily[Adjusted close],MAX(1,$A633-200+1)):E633),"n.a.")))</f>
        <v/>
      </c>
      <c r="H633" s="136" t="str">
        <f>IF($A633&gt;MIN($A$10,$A$2),"",IF($A$5="","Choose stock",IF(NOT($A$12),"Check split rule",IF(NOT(ISNUMBER(B633)),"Invalid date",IF(OR(B633&lt;=0,B633&lt;&gt;INT(B633)),"Invalid date",IF(COUNTIFS(DemoHistory[Date],B633)&lt;&gt;1,"Duplicate date",IF(AND($A633&gt;1,B633&lt;=B632),"Dates out of order",IF(NOT(ISNUMBER(C633)),"Missing price",IF(C633&lt;=0,"Nonpositive price","OK")))))))))</f>
        <v/>
      </c>
      <c r="I633" s="136"/>
      <c r="J633" s="136"/>
      <c r="K633" s="136"/>
      <c r="L633" s="136"/>
      <c r="M633" s="136"/>
      <c r="N633" s="136" t="e">
        <f t="shared" si="28"/>
        <v>#N/A</v>
      </c>
      <c r="O633" s="136" t="e">
        <f t="shared" si="29"/>
        <v>#N/A</v>
      </c>
    </row>
    <row r="634" spans="1:15" ht="22.05" customHeight="1" x14ac:dyDescent="0.3">
      <c r="A634" s="136">
        <v>590</v>
      </c>
      <c r="B634" s="165" t="str">
        <f>IF($A634&gt;MIN($A$10,$A$2),"",INDEX(DemoHistory[Date],$A634))</f>
        <v/>
      </c>
      <c r="C634" s="166" t="str">
        <f>IF(OR($A634&gt;MIN($A$10,$A$2),$A$5=""),"",INDEX(DemoHistory[],$A634,MATCH($A$5,DemoHistory[#Headers],0)))</f>
        <v/>
      </c>
      <c r="D634" s="166" t="str">
        <f>IF($A634&gt;MIN($A$10,$A$2),"",IF(AND($A$12,$A$6=1,B634&lt;$A$7,$A$7&lt;=MAX(DemoHistory[Date])),$A$8,1))</f>
        <v/>
      </c>
      <c r="E634" s="166" t="str">
        <f t="shared" si="27"/>
        <v/>
      </c>
      <c r="F634" s="166" t="str">
        <f>IF($A634&gt;MIN($A$10,$A$2),"",IF($A634&lt;50,"n.a.",IF(COUNT(INDEX(StockDaily[Adjusted close],MAX(1,$A634-50+1)):E634)=50,AVERAGE(INDEX(StockDaily[Adjusted close],MAX(1,$A634-50+1)):E634),"n.a.")))</f>
        <v/>
      </c>
      <c r="G634" s="166" t="str">
        <f>IF($A634&gt;MIN($A$10,$A$2),"",IF($A634&lt;200,"n.a.",IF(COUNT(INDEX(StockDaily[Adjusted close],MAX(1,$A634-200+1)):E634)=200,AVERAGE(INDEX(StockDaily[Adjusted close],MAX(1,$A634-200+1)):E634),"n.a.")))</f>
        <v/>
      </c>
      <c r="H634" s="136" t="str">
        <f>IF($A634&gt;MIN($A$10,$A$2),"",IF($A$5="","Choose stock",IF(NOT($A$12),"Check split rule",IF(NOT(ISNUMBER(B634)),"Invalid date",IF(OR(B634&lt;=0,B634&lt;&gt;INT(B634)),"Invalid date",IF(COUNTIFS(DemoHistory[Date],B634)&lt;&gt;1,"Duplicate date",IF(AND($A634&gt;1,B634&lt;=B633),"Dates out of order",IF(NOT(ISNUMBER(C634)),"Missing price",IF(C634&lt;=0,"Nonpositive price","OK")))))))))</f>
        <v/>
      </c>
      <c r="I634" s="136"/>
      <c r="J634" s="136"/>
      <c r="K634" s="136"/>
      <c r="L634" s="136"/>
      <c r="M634" s="136"/>
      <c r="N634" s="136" t="e">
        <f t="shared" si="28"/>
        <v>#N/A</v>
      </c>
      <c r="O634" s="136" t="e">
        <f t="shared" si="29"/>
        <v>#N/A</v>
      </c>
    </row>
    <row r="635" spans="1:15" ht="22.05" customHeight="1" x14ac:dyDescent="0.3">
      <c r="A635" s="136">
        <v>591</v>
      </c>
      <c r="B635" s="165" t="str">
        <f>IF($A635&gt;MIN($A$10,$A$2),"",INDEX(DemoHistory[Date],$A635))</f>
        <v/>
      </c>
      <c r="C635" s="166" t="str">
        <f>IF(OR($A635&gt;MIN($A$10,$A$2),$A$5=""),"",INDEX(DemoHistory[],$A635,MATCH($A$5,DemoHistory[#Headers],0)))</f>
        <v/>
      </c>
      <c r="D635" s="166" t="str">
        <f>IF($A635&gt;MIN($A$10,$A$2),"",IF(AND($A$12,$A$6=1,B635&lt;$A$7,$A$7&lt;=MAX(DemoHistory[Date])),$A$8,1))</f>
        <v/>
      </c>
      <c r="E635" s="166" t="str">
        <f t="shared" si="27"/>
        <v/>
      </c>
      <c r="F635" s="166" t="str">
        <f>IF($A635&gt;MIN($A$10,$A$2),"",IF($A635&lt;50,"n.a.",IF(COUNT(INDEX(StockDaily[Adjusted close],MAX(1,$A635-50+1)):E635)=50,AVERAGE(INDEX(StockDaily[Adjusted close],MAX(1,$A635-50+1)):E635),"n.a.")))</f>
        <v/>
      </c>
      <c r="G635" s="166" t="str">
        <f>IF($A635&gt;MIN($A$10,$A$2),"",IF($A635&lt;200,"n.a.",IF(COUNT(INDEX(StockDaily[Adjusted close],MAX(1,$A635-200+1)):E635)=200,AVERAGE(INDEX(StockDaily[Adjusted close],MAX(1,$A635-200+1)):E635),"n.a.")))</f>
        <v/>
      </c>
      <c r="H635" s="136" t="str">
        <f>IF($A635&gt;MIN($A$10,$A$2),"",IF($A$5="","Choose stock",IF(NOT($A$12),"Check split rule",IF(NOT(ISNUMBER(B635)),"Invalid date",IF(OR(B635&lt;=0,B635&lt;&gt;INT(B635)),"Invalid date",IF(COUNTIFS(DemoHistory[Date],B635)&lt;&gt;1,"Duplicate date",IF(AND($A635&gt;1,B635&lt;=B634),"Dates out of order",IF(NOT(ISNUMBER(C635)),"Missing price",IF(C635&lt;=0,"Nonpositive price","OK")))))))))</f>
        <v/>
      </c>
      <c r="I635" s="136"/>
      <c r="J635" s="136"/>
      <c r="K635" s="136"/>
      <c r="L635" s="136"/>
      <c r="M635" s="136"/>
      <c r="N635" s="136" t="e">
        <f t="shared" si="28"/>
        <v>#N/A</v>
      </c>
      <c r="O635" s="136" t="e">
        <f t="shared" si="29"/>
        <v>#N/A</v>
      </c>
    </row>
    <row r="636" spans="1:15" ht="22.05" customHeight="1" x14ac:dyDescent="0.3">
      <c r="A636" s="136">
        <v>592</v>
      </c>
      <c r="B636" s="165" t="str">
        <f>IF($A636&gt;MIN($A$10,$A$2),"",INDEX(DemoHistory[Date],$A636))</f>
        <v/>
      </c>
      <c r="C636" s="166" t="str">
        <f>IF(OR($A636&gt;MIN($A$10,$A$2),$A$5=""),"",INDEX(DemoHistory[],$A636,MATCH($A$5,DemoHistory[#Headers],0)))</f>
        <v/>
      </c>
      <c r="D636" s="166" t="str">
        <f>IF($A636&gt;MIN($A$10,$A$2),"",IF(AND($A$12,$A$6=1,B636&lt;$A$7,$A$7&lt;=MAX(DemoHistory[Date])),$A$8,1))</f>
        <v/>
      </c>
      <c r="E636" s="166" t="str">
        <f t="shared" si="27"/>
        <v/>
      </c>
      <c r="F636" s="166" t="str">
        <f>IF($A636&gt;MIN($A$10,$A$2),"",IF($A636&lt;50,"n.a.",IF(COUNT(INDEX(StockDaily[Adjusted close],MAX(1,$A636-50+1)):E636)=50,AVERAGE(INDEX(StockDaily[Adjusted close],MAX(1,$A636-50+1)):E636),"n.a.")))</f>
        <v/>
      </c>
      <c r="G636" s="166" t="str">
        <f>IF($A636&gt;MIN($A$10,$A$2),"",IF($A636&lt;200,"n.a.",IF(COUNT(INDEX(StockDaily[Adjusted close],MAX(1,$A636-200+1)):E636)=200,AVERAGE(INDEX(StockDaily[Adjusted close],MAX(1,$A636-200+1)):E636),"n.a.")))</f>
        <v/>
      </c>
      <c r="H636" s="136" t="str">
        <f>IF($A636&gt;MIN($A$10,$A$2),"",IF($A$5="","Choose stock",IF(NOT($A$12),"Check split rule",IF(NOT(ISNUMBER(B636)),"Invalid date",IF(OR(B636&lt;=0,B636&lt;&gt;INT(B636)),"Invalid date",IF(COUNTIFS(DemoHistory[Date],B636)&lt;&gt;1,"Duplicate date",IF(AND($A636&gt;1,B636&lt;=B635),"Dates out of order",IF(NOT(ISNUMBER(C636)),"Missing price",IF(C636&lt;=0,"Nonpositive price","OK")))))))))</f>
        <v/>
      </c>
      <c r="I636" s="136"/>
      <c r="J636" s="136"/>
      <c r="K636" s="136"/>
      <c r="L636" s="136"/>
      <c r="M636" s="136"/>
      <c r="N636" s="136" t="e">
        <f t="shared" si="28"/>
        <v>#N/A</v>
      </c>
      <c r="O636" s="136" t="e">
        <f t="shared" si="29"/>
        <v>#N/A</v>
      </c>
    </row>
    <row r="637" spans="1:15" ht="22.05" customHeight="1" x14ac:dyDescent="0.3">
      <c r="A637" s="136">
        <v>593</v>
      </c>
      <c r="B637" s="165" t="str">
        <f>IF($A637&gt;MIN($A$10,$A$2),"",INDEX(DemoHistory[Date],$A637))</f>
        <v/>
      </c>
      <c r="C637" s="166" t="str">
        <f>IF(OR($A637&gt;MIN($A$10,$A$2),$A$5=""),"",INDEX(DemoHistory[],$A637,MATCH($A$5,DemoHistory[#Headers],0)))</f>
        <v/>
      </c>
      <c r="D637" s="166" t="str">
        <f>IF($A637&gt;MIN($A$10,$A$2),"",IF(AND($A$12,$A$6=1,B637&lt;$A$7,$A$7&lt;=MAX(DemoHistory[Date])),$A$8,1))</f>
        <v/>
      </c>
      <c r="E637" s="166" t="str">
        <f t="shared" si="27"/>
        <v/>
      </c>
      <c r="F637" s="166" t="str">
        <f>IF($A637&gt;MIN($A$10,$A$2),"",IF($A637&lt;50,"n.a.",IF(COUNT(INDEX(StockDaily[Adjusted close],MAX(1,$A637-50+1)):E637)=50,AVERAGE(INDEX(StockDaily[Adjusted close],MAX(1,$A637-50+1)):E637),"n.a.")))</f>
        <v/>
      </c>
      <c r="G637" s="166" t="str">
        <f>IF($A637&gt;MIN($A$10,$A$2),"",IF($A637&lt;200,"n.a.",IF(COUNT(INDEX(StockDaily[Adjusted close],MAX(1,$A637-200+1)):E637)=200,AVERAGE(INDEX(StockDaily[Adjusted close],MAX(1,$A637-200+1)):E637),"n.a.")))</f>
        <v/>
      </c>
      <c r="H637" s="136" t="str">
        <f>IF($A637&gt;MIN($A$10,$A$2),"",IF($A$5="","Choose stock",IF(NOT($A$12),"Check split rule",IF(NOT(ISNUMBER(B637)),"Invalid date",IF(OR(B637&lt;=0,B637&lt;&gt;INT(B637)),"Invalid date",IF(COUNTIFS(DemoHistory[Date],B637)&lt;&gt;1,"Duplicate date",IF(AND($A637&gt;1,B637&lt;=B636),"Dates out of order",IF(NOT(ISNUMBER(C637)),"Missing price",IF(C637&lt;=0,"Nonpositive price","OK")))))))))</f>
        <v/>
      </c>
      <c r="I637" s="136"/>
      <c r="J637" s="136"/>
      <c r="K637" s="136"/>
      <c r="L637" s="136"/>
      <c r="M637" s="136"/>
      <c r="N637" s="136" t="e">
        <f t="shared" si="28"/>
        <v>#N/A</v>
      </c>
      <c r="O637" s="136" t="e">
        <f t="shared" si="29"/>
        <v>#N/A</v>
      </c>
    </row>
    <row r="638" spans="1:15" ht="22.05" customHeight="1" x14ac:dyDescent="0.3">
      <c r="A638" s="136">
        <v>594</v>
      </c>
      <c r="B638" s="165" t="str">
        <f>IF($A638&gt;MIN($A$10,$A$2),"",INDEX(DemoHistory[Date],$A638))</f>
        <v/>
      </c>
      <c r="C638" s="166" t="str">
        <f>IF(OR($A638&gt;MIN($A$10,$A$2),$A$5=""),"",INDEX(DemoHistory[],$A638,MATCH($A$5,DemoHistory[#Headers],0)))</f>
        <v/>
      </c>
      <c r="D638" s="166" t="str">
        <f>IF($A638&gt;MIN($A$10,$A$2),"",IF(AND($A$12,$A$6=1,B638&lt;$A$7,$A$7&lt;=MAX(DemoHistory[Date])),$A$8,1))</f>
        <v/>
      </c>
      <c r="E638" s="166" t="str">
        <f t="shared" si="27"/>
        <v/>
      </c>
      <c r="F638" s="166" t="str">
        <f>IF($A638&gt;MIN($A$10,$A$2),"",IF($A638&lt;50,"n.a.",IF(COUNT(INDEX(StockDaily[Adjusted close],MAX(1,$A638-50+1)):E638)=50,AVERAGE(INDEX(StockDaily[Adjusted close],MAX(1,$A638-50+1)):E638),"n.a.")))</f>
        <v/>
      </c>
      <c r="G638" s="166" t="str">
        <f>IF($A638&gt;MIN($A$10,$A$2),"",IF($A638&lt;200,"n.a.",IF(COUNT(INDEX(StockDaily[Adjusted close],MAX(1,$A638-200+1)):E638)=200,AVERAGE(INDEX(StockDaily[Adjusted close],MAX(1,$A638-200+1)):E638),"n.a.")))</f>
        <v/>
      </c>
      <c r="H638" s="136" t="str">
        <f>IF($A638&gt;MIN($A$10,$A$2),"",IF($A$5="","Choose stock",IF(NOT($A$12),"Check split rule",IF(NOT(ISNUMBER(B638)),"Invalid date",IF(OR(B638&lt;=0,B638&lt;&gt;INT(B638)),"Invalid date",IF(COUNTIFS(DemoHistory[Date],B638)&lt;&gt;1,"Duplicate date",IF(AND($A638&gt;1,B638&lt;=B637),"Dates out of order",IF(NOT(ISNUMBER(C638)),"Missing price",IF(C638&lt;=0,"Nonpositive price","OK")))))))))</f>
        <v/>
      </c>
      <c r="I638" s="136"/>
      <c r="J638" s="136"/>
      <c r="K638" s="136"/>
      <c r="L638" s="136"/>
      <c r="M638" s="136"/>
      <c r="N638" s="136" t="e">
        <f t="shared" si="28"/>
        <v>#N/A</v>
      </c>
      <c r="O638" s="136" t="e">
        <f t="shared" si="29"/>
        <v>#N/A</v>
      </c>
    </row>
    <row r="639" spans="1:15" ht="22.05" customHeight="1" x14ac:dyDescent="0.3">
      <c r="A639" s="136">
        <v>595</v>
      </c>
      <c r="B639" s="165" t="str">
        <f>IF($A639&gt;MIN($A$10,$A$2),"",INDEX(DemoHistory[Date],$A639))</f>
        <v/>
      </c>
      <c r="C639" s="166" t="str">
        <f>IF(OR($A639&gt;MIN($A$10,$A$2),$A$5=""),"",INDEX(DemoHistory[],$A639,MATCH($A$5,DemoHistory[#Headers],0)))</f>
        <v/>
      </c>
      <c r="D639" s="166" t="str">
        <f>IF($A639&gt;MIN($A$10,$A$2),"",IF(AND($A$12,$A$6=1,B639&lt;$A$7,$A$7&lt;=MAX(DemoHistory[Date])),$A$8,1))</f>
        <v/>
      </c>
      <c r="E639" s="166" t="str">
        <f t="shared" si="27"/>
        <v/>
      </c>
      <c r="F639" s="166" t="str">
        <f>IF($A639&gt;MIN($A$10,$A$2),"",IF($A639&lt;50,"n.a.",IF(COUNT(INDEX(StockDaily[Adjusted close],MAX(1,$A639-50+1)):E639)=50,AVERAGE(INDEX(StockDaily[Adjusted close],MAX(1,$A639-50+1)):E639),"n.a.")))</f>
        <v/>
      </c>
      <c r="G639" s="166" t="str">
        <f>IF($A639&gt;MIN($A$10,$A$2),"",IF($A639&lt;200,"n.a.",IF(COUNT(INDEX(StockDaily[Adjusted close],MAX(1,$A639-200+1)):E639)=200,AVERAGE(INDEX(StockDaily[Adjusted close],MAX(1,$A639-200+1)):E639),"n.a.")))</f>
        <v/>
      </c>
      <c r="H639" s="136" t="str">
        <f>IF($A639&gt;MIN($A$10,$A$2),"",IF($A$5="","Choose stock",IF(NOT($A$12),"Check split rule",IF(NOT(ISNUMBER(B639)),"Invalid date",IF(OR(B639&lt;=0,B639&lt;&gt;INT(B639)),"Invalid date",IF(COUNTIFS(DemoHistory[Date],B639)&lt;&gt;1,"Duplicate date",IF(AND($A639&gt;1,B639&lt;=B638),"Dates out of order",IF(NOT(ISNUMBER(C639)),"Missing price",IF(C639&lt;=0,"Nonpositive price","OK")))))))))</f>
        <v/>
      </c>
      <c r="I639" s="136"/>
      <c r="J639" s="136"/>
      <c r="K639" s="136"/>
      <c r="L639" s="136"/>
      <c r="M639" s="136"/>
      <c r="N639" s="136" t="e">
        <f t="shared" si="28"/>
        <v>#N/A</v>
      </c>
      <c r="O639" s="136" t="e">
        <f t="shared" si="29"/>
        <v>#N/A</v>
      </c>
    </row>
    <row r="640" spans="1:15" ht="22.05" customHeight="1" x14ac:dyDescent="0.3">
      <c r="A640" s="136">
        <v>596</v>
      </c>
      <c r="B640" s="165" t="str">
        <f>IF($A640&gt;MIN($A$10,$A$2),"",INDEX(DemoHistory[Date],$A640))</f>
        <v/>
      </c>
      <c r="C640" s="166" t="str">
        <f>IF(OR($A640&gt;MIN($A$10,$A$2),$A$5=""),"",INDEX(DemoHistory[],$A640,MATCH($A$5,DemoHistory[#Headers],0)))</f>
        <v/>
      </c>
      <c r="D640" s="166" t="str">
        <f>IF($A640&gt;MIN($A$10,$A$2),"",IF(AND($A$12,$A$6=1,B640&lt;$A$7,$A$7&lt;=MAX(DemoHistory[Date])),$A$8,1))</f>
        <v/>
      </c>
      <c r="E640" s="166" t="str">
        <f t="shared" si="27"/>
        <v/>
      </c>
      <c r="F640" s="166" t="str">
        <f>IF($A640&gt;MIN($A$10,$A$2),"",IF($A640&lt;50,"n.a.",IF(COUNT(INDEX(StockDaily[Adjusted close],MAX(1,$A640-50+1)):E640)=50,AVERAGE(INDEX(StockDaily[Adjusted close],MAX(1,$A640-50+1)):E640),"n.a.")))</f>
        <v/>
      </c>
      <c r="G640" s="166" t="str">
        <f>IF($A640&gt;MIN($A$10,$A$2),"",IF($A640&lt;200,"n.a.",IF(COUNT(INDEX(StockDaily[Adjusted close],MAX(1,$A640-200+1)):E640)=200,AVERAGE(INDEX(StockDaily[Adjusted close],MAX(1,$A640-200+1)):E640),"n.a.")))</f>
        <v/>
      </c>
      <c r="H640" s="136" t="str">
        <f>IF($A640&gt;MIN($A$10,$A$2),"",IF($A$5="","Choose stock",IF(NOT($A$12),"Check split rule",IF(NOT(ISNUMBER(B640)),"Invalid date",IF(OR(B640&lt;=0,B640&lt;&gt;INT(B640)),"Invalid date",IF(COUNTIFS(DemoHistory[Date],B640)&lt;&gt;1,"Duplicate date",IF(AND($A640&gt;1,B640&lt;=B639),"Dates out of order",IF(NOT(ISNUMBER(C640)),"Missing price",IF(C640&lt;=0,"Nonpositive price","OK")))))))))</f>
        <v/>
      </c>
      <c r="I640" s="136"/>
      <c r="J640" s="136"/>
      <c r="K640" s="136"/>
      <c r="L640" s="136"/>
      <c r="M640" s="136"/>
      <c r="N640" s="136" t="e">
        <f t="shared" si="28"/>
        <v>#N/A</v>
      </c>
      <c r="O640" s="136" t="e">
        <f t="shared" si="29"/>
        <v>#N/A</v>
      </c>
    </row>
    <row r="641" spans="1:15" ht="22.05" customHeight="1" x14ac:dyDescent="0.3">
      <c r="A641" s="136">
        <v>597</v>
      </c>
      <c r="B641" s="165" t="str">
        <f>IF($A641&gt;MIN($A$10,$A$2),"",INDEX(DemoHistory[Date],$A641))</f>
        <v/>
      </c>
      <c r="C641" s="166" t="str">
        <f>IF(OR($A641&gt;MIN($A$10,$A$2),$A$5=""),"",INDEX(DemoHistory[],$A641,MATCH($A$5,DemoHistory[#Headers],0)))</f>
        <v/>
      </c>
      <c r="D641" s="166" t="str">
        <f>IF($A641&gt;MIN($A$10,$A$2),"",IF(AND($A$12,$A$6=1,B641&lt;$A$7,$A$7&lt;=MAX(DemoHistory[Date])),$A$8,1))</f>
        <v/>
      </c>
      <c r="E641" s="166" t="str">
        <f t="shared" si="27"/>
        <v/>
      </c>
      <c r="F641" s="166" t="str">
        <f>IF($A641&gt;MIN($A$10,$A$2),"",IF($A641&lt;50,"n.a.",IF(COUNT(INDEX(StockDaily[Adjusted close],MAX(1,$A641-50+1)):E641)=50,AVERAGE(INDEX(StockDaily[Adjusted close],MAX(1,$A641-50+1)):E641),"n.a.")))</f>
        <v/>
      </c>
      <c r="G641" s="166" t="str">
        <f>IF($A641&gt;MIN($A$10,$A$2),"",IF($A641&lt;200,"n.a.",IF(COUNT(INDEX(StockDaily[Adjusted close],MAX(1,$A641-200+1)):E641)=200,AVERAGE(INDEX(StockDaily[Adjusted close],MAX(1,$A641-200+1)):E641),"n.a.")))</f>
        <v/>
      </c>
      <c r="H641" s="136" t="str">
        <f>IF($A641&gt;MIN($A$10,$A$2),"",IF($A$5="","Choose stock",IF(NOT($A$12),"Check split rule",IF(NOT(ISNUMBER(B641)),"Invalid date",IF(OR(B641&lt;=0,B641&lt;&gt;INT(B641)),"Invalid date",IF(COUNTIFS(DemoHistory[Date],B641)&lt;&gt;1,"Duplicate date",IF(AND($A641&gt;1,B641&lt;=B640),"Dates out of order",IF(NOT(ISNUMBER(C641)),"Missing price",IF(C641&lt;=0,"Nonpositive price","OK")))))))))</f>
        <v/>
      </c>
      <c r="I641" s="136"/>
      <c r="J641" s="136"/>
      <c r="K641" s="136"/>
      <c r="L641" s="136"/>
      <c r="M641" s="136"/>
      <c r="N641" s="136" t="e">
        <f t="shared" si="28"/>
        <v>#N/A</v>
      </c>
      <c r="O641" s="136" t="e">
        <f t="shared" si="29"/>
        <v>#N/A</v>
      </c>
    </row>
    <row r="642" spans="1:15" ht="22.05" customHeight="1" x14ac:dyDescent="0.3">
      <c r="A642" s="136">
        <v>598</v>
      </c>
      <c r="B642" s="165" t="str">
        <f>IF($A642&gt;MIN($A$10,$A$2),"",INDEX(DemoHistory[Date],$A642))</f>
        <v/>
      </c>
      <c r="C642" s="166" t="str">
        <f>IF(OR($A642&gt;MIN($A$10,$A$2),$A$5=""),"",INDEX(DemoHistory[],$A642,MATCH($A$5,DemoHistory[#Headers],0)))</f>
        <v/>
      </c>
      <c r="D642" s="166" t="str">
        <f>IF($A642&gt;MIN($A$10,$A$2),"",IF(AND($A$12,$A$6=1,B642&lt;$A$7,$A$7&lt;=MAX(DemoHistory[Date])),$A$8,1))</f>
        <v/>
      </c>
      <c r="E642" s="166" t="str">
        <f t="shared" si="27"/>
        <v/>
      </c>
      <c r="F642" s="166" t="str">
        <f>IF($A642&gt;MIN($A$10,$A$2),"",IF($A642&lt;50,"n.a.",IF(COUNT(INDEX(StockDaily[Adjusted close],MAX(1,$A642-50+1)):E642)=50,AVERAGE(INDEX(StockDaily[Adjusted close],MAX(1,$A642-50+1)):E642),"n.a.")))</f>
        <v/>
      </c>
      <c r="G642" s="166" t="str">
        <f>IF($A642&gt;MIN($A$10,$A$2),"",IF($A642&lt;200,"n.a.",IF(COUNT(INDEX(StockDaily[Adjusted close],MAX(1,$A642-200+1)):E642)=200,AVERAGE(INDEX(StockDaily[Adjusted close],MAX(1,$A642-200+1)):E642),"n.a.")))</f>
        <v/>
      </c>
      <c r="H642" s="136" t="str">
        <f>IF($A642&gt;MIN($A$10,$A$2),"",IF($A$5="","Choose stock",IF(NOT($A$12),"Check split rule",IF(NOT(ISNUMBER(B642)),"Invalid date",IF(OR(B642&lt;=0,B642&lt;&gt;INT(B642)),"Invalid date",IF(COUNTIFS(DemoHistory[Date],B642)&lt;&gt;1,"Duplicate date",IF(AND($A642&gt;1,B642&lt;=B641),"Dates out of order",IF(NOT(ISNUMBER(C642)),"Missing price",IF(C642&lt;=0,"Nonpositive price","OK")))))))))</f>
        <v/>
      </c>
      <c r="I642" s="136"/>
      <c r="J642" s="136"/>
      <c r="K642" s="136"/>
      <c r="L642" s="136"/>
      <c r="M642" s="136"/>
      <c r="N642" s="136" t="e">
        <f t="shared" si="28"/>
        <v>#N/A</v>
      </c>
      <c r="O642" s="136" t="e">
        <f t="shared" si="29"/>
        <v>#N/A</v>
      </c>
    </row>
    <row r="643" spans="1:15" ht="22.05" customHeight="1" x14ac:dyDescent="0.3">
      <c r="A643" s="136">
        <v>599</v>
      </c>
      <c r="B643" s="165" t="str">
        <f>IF($A643&gt;MIN($A$10,$A$2),"",INDEX(DemoHistory[Date],$A643))</f>
        <v/>
      </c>
      <c r="C643" s="166" t="str">
        <f>IF(OR($A643&gt;MIN($A$10,$A$2),$A$5=""),"",INDEX(DemoHistory[],$A643,MATCH($A$5,DemoHistory[#Headers],0)))</f>
        <v/>
      </c>
      <c r="D643" s="166" t="str">
        <f>IF($A643&gt;MIN($A$10,$A$2),"",IF(AND($A$12,$A$6=1,B643&lt;$A$7,$A$7&lt;=MAX(DemoHistory[Date])),$A$8,1))</f>
        <v/>
      </c>
      <c r="E643" s="166" t="str">
        <f t="shared" si="27"/>
        <v/>
      </c>
      <c r="F643" s="166" t="str">
        <f>IF($A643&gt;MIN($A$10,$A$2),"",IF($A643&lt;50,"n.a.",IF(COUNT(INDEX(StockDaily[Adjusted close],MAX(1,$A643-50+1)):E643)=50,AVERAGE(INDEX(StockDaily[Adjusted close],MAX(1,$A643-50+1)):E643),"n.a.")))</f>
        <v/>
      </c>
      <c r="G643" s="166" t="str">
        <f>IF($A643&gt;MIN($A$10,$A$2),"",IF($A643&lt;200,"n.a.",IF(COUNT(INDEX(StockDaily[Adjusted close],MAX(1,$A643-200+1)):E643)=200,AVERAGE(INDEX(StockDaily[Adjusted close],MAX(1,$A643-200+1)):E643),"n.a.")))</f>
        <v/>
      </c>
      <c r="H643" s="136" t="str">
        <f>IF($A643&gt;MIN($A$10,$A$2),"",IF($A$5="","Choose stock",IF(NOT($A$12),"Check split rule",IF(NOT(ISNUMBER(B643)),"Invalid date",IF(OR(B643&lt;=0,B643&lt;&gt;INT(B643)),"Invalid date",IF(COUNTIFS(DemoHistory[Date],B643)&lt;&gt;1,"Duplicate date",IF(AND($A643&gt;1,B643&lt;=B642),"Dates out of order",IF(NOT(ISNUMBER(C643)),"Missing price",IF(C643&lt;=0,"Nonpositive price","OK")))))))))</f>
        <v/>
      </c>
      <c r="I643" s="136"/>
      <c r="J643" s="136"/>
      <c r="K643" s="136"/>
      <c r="L643" s="136"/>
      <c r="M643" s="136"/>
      <c r="N643" s="136" t="e">
        <f t="shared" si="28"/>
        <v>#N/A</v>
      </c>
      <c r="O643" s="136" t="e">
        <f t="shared" si="29"/>
        <v>#N/A</v>
      </c>
    </row>
    <row r="644" spans="1:15" ht="22.05" customHeight="1" x14ac:dyDescent="0.3">
      <c r="A644" s="136">
        <v>600</v>
      </c>
      <c r="B644" s="165" t="str">
        <f>IF($A644&gt;MIN($A$10,$A$2),"",INDEX(DemoHistory[Date],$A644))</f>
        <v/>
      </c>
      <c r="C644" s="166" t="str">
        <f>IF(OR($A644&gt;MIN($A$10,$A$2),$A$5=""),"",INDEX(DemoHistory[],$A644,MATCH($A$5,DemoHistory[#Headers],0)))</f>
        <v/>
      </c>
      <c r="D644" s="166" t="str">
        <f>IF($A644&gt;MIN($A$10,$A$2),"",IF(AND($A$12,$A$6=1,B644&lt;$A$7,$A$7&lt;=MAX(DemoHistory[Date])),$A$8,1))</f>
        <v/>
      </c>
      <c r="E644" s="166" t="str">
        <f t="shared" si="27"/>
        <v/>
      </c>
      <c r="F644" s="166" t="str">
        <f>IF($A644&gt;MIN($A$10,$A$2),"",IF($A644&lt;50,"n.a.",IF(COUNT(INDEX(StockDaily[Adjusted close],MAX(1,$A644-50+1)):E644)=50,AVERAGE(INDEX(StockDaily[Adjusted close],MAX(1,$A644-50+1)):E644),"n.a.")))</f>
        <v/>
      </c>
      <c r="G644" s="166" t="str">
        <f>IF($A644&gt;MIN($A$10,$A$2),"",IF($A644&lt;200,"n.a.",IF(COUNT(INDEX(StockDaily[Adjusted close],MAX(1,$A644-200+1)):E644)=200,AVERAGE(INDEX(StockDaily[Adjusted close],MAX(1,$A644-200+1)):E644),"n.a.")))</f>
        <v/>
      </c>
      <c r="H644" s="136" t="str">
        <f>IF($A644&gt;MIN($A$10,$A$2),"",IF($A$5="","Choose stock",IF(NOT($A$12),"Check split rule",IF(NOT(ISNUMBER(B644)),"Invalid date",IF(OR(B644&lt;=0,B644&lt;&gt;INT(B644)),"Invalid date",IF(COUNTIFS(DemoHistory[Date],B644)&lt;&gt;1,"Duplicate date",IF(AND($A644&gt;1,B644&lt;=B643),"Dates out of order",IF(NOT(ISNUMBER(C644)),"Missing price",IF(C644&lt;=0,"Nonpositive price","OK")))))))))</f>
        <v/>
      </c>
      <c r="I644" s="136"/>
      <c r="J644" s="136"/>
      <c r="K644" s="136"/>
      <c r="L644" s="136"/>
      <c r="M644" s="136"/>
      <c r="N644" s="136" t="e">
        <f t="shared" si="28"/>
        <v>#N/A</v>
      </c>
      <c r="O644" s="136" t="e">
        <f t="shared" si="29"/>
        <v>#N/A</v>
      </c>
    </row>
    <row r="645" spans="1:15" ht="22.05" customHeight="1" x14ac:dyDescent="0.3">
      <c r="A645" s="136">
        <v>601</v>
      </c>
      <c r="B645" s="165" t="str">
        <f>IF($A645&gt;MIN($A$10,$A$2),"",INDEX(DemoHistory[Date],$A645))</f>
        <v/>
      </c>
      <c r="C645" s="166" t="str">
        <f>IF(OR($A645&gt;MIN($A$10,$A$2),$A$5=""),"",INDEX(DemoHistory[],$A645,MATCH($A$5,DemoHistory[#Headers],0)))</f>
        <v/>
      </c>
      <c r="D645" s="166" t="str">
        <f>IF($A645&gt;MIN($A$10,$A$2),"",IF(AND($A$12,$A$6=1,B645&lt;$A$7,$A$7&lt;=MAX(DemoHistory[Date])),$A$8,1))</f>
        <v/>
      </c>
      <c r="E645" s="166" t="str">
        <f t="shared" si="27"/>
        <v/>
      </c>
      <c r="F645" s="166" t="str">
        <f>IF($A645&gt;MIN($A$10,$A$2),"",IF($A645&lt;50,"n.a.",IF(COUNT(INDEX(StockDaily[Adjusted close],MAX(1,$A645-50+1)):E645)=50,AVERAGE(INDEX(StockDaily[Adjusted close],MAX(1,$A645-50+1)):E645),"n.a.")))</f>
        <v/>
      </c>
      <c r="G645" s="166" t="str">
        <f>IF($A645&gt;MIN($A$10,$A$2),"",IF($A645&lt;200,"n.a.",IF(COUNT(INDEX(StockDaily[Adjusted close],MAX(1,$A645-200+1)):E645)=200,AVERAGE(INDEX(StockDaily[Adjusted close],MAX(1,$A645-200+1)):E645),"n.a.")))</f>
        <v/>
      </c>
      <c r="H645" s="136" t="str">
        <f>IF($A645&gt;MIN($A$10,$A$2),"",IF($A$5="","Choose stock",IF(NOT($A$12),"Check split rule",IF(NOT(ISNUMBER(B645)),"Invalid date",IF(OR(B645&lt;=0,B645&lt;&gt;INT(B645)),"Invalid date",IF(COUNTIFS(DemoHistory[Date],B645)&lt;&gt;1,"Duplicate date",IF(AND($A645&gt;1,B645&lt;=B644),"Dates out of order",IF(NOT(ISNUMBER(C645)),"Missing price",IF(C645&lt;=0,"Nonpositive price","OK")))))))))</f>
        <v/>
      </c>
      <c r="I645" s="136"/>
      <c r="J645" s="136"/>
      <c r="K645" s="136"/>
      <c r="L645" s="136"/>
      <c r="M645" s="136"/>
      <c r="N645" s="136" t="e">
        <f t="shared" si="28"/>
        <v>#N/A</v>
      </c>
      <c r="O645" s="136" t="e">
        <f t="shared" si="29"/>
        <v>#N/A</v>
      </c>
    </row>
    <row r="646" spans="1:15" ht="22.05" customHeight="1" x14ac:dyDescent="0.3">
      <c r="A646" s="136">
        <v>602</v>
      </c>
      <c r="B646" s="165" t="str">
        <f>IF($A646&gt;MIN($A$10,$A$2),"",INDEX(DemoHistory[Date],$A646))</f>
        <v/>
      </c>
      <c r="C646" s="166" t="str">
        <f>IF(OR($A646&gt;MIN($A$10,$A$2),$A$5=""),"",INDEX(DemoHistory[],$A646,MATCH($A$5,DemoHistory[#Headers],0)))</f>
        <v/>
      </c>
      <c r="D646" s="166" t="str">
        <f>IF($A646&gt;MIN($A$10,$A$2),"",IF(AND($A$12,$A$6=1,B646&lt;$A$7,$A$7&lt;=MAX(DemoHistory[Date])),$A$8,1))</f>
        <v/>
      </c>
      <c r="E646" s="166" t="str">
        <f t="shared" si="27"/>
        <v/>
      </c>
      <c r="F646" s="166" t="str">
        <f>IF($A646&gt;MIN($A$10,$A$2),"",IF($A646&lt;50,"n.a.",IF(COUNT(INDEX(StockDaily[Adjusted close],MAX(1,$A646-50+1)):E646)=50,AVERAGE(INDEX(StockDaily[Adjusted close],MAX(1,$A646-50+1)):E646),"n.a.")))</f>
        <v/>
      </c>
      <c r="G646" s="166" t="str">
        <f>IF($A646&gt;MIN($A$10,$A$2),"",IF($A646&lt;200,"n.a.",IF(COUNT(INDEX(StockDaily[Adjusted close],MAX(1,$A646-200+1)):E646)=200,AVERAGE(INDEX(StockDaily[Adjusted close],MAX(1,$A646-200+1)):E646),"n.a.")))</f>
        <v/>
      </c>
      <c r="H646" s="136" t="str">
        <f>IF($A646&gt;MIN($A$10,$A$2),"",IF($A$5="","Choose stock",IF(NOT($A$12),"Check split rule",IF(NOT(ISNUMBER(B646)),"Invalid date",IF(OR(B646&lt;=0,B646&lt;&gt;INT(B646)),"Invalid date",IF(COUNTIFS(DemoHistory[Date],B646)&lt;&gt;1,"Duplicate date",IF(AND($A646&gt;1,B646&lt;=B645),"Dates out of order",IF(NOT(ISNUMBER(C646)),"Missing price",IF(C646&lt;=0,"Nonpositive price","OK")))))))))</f>
        <v/>
      </c>
      <c r="I646" s="136"/>
      <c r="J646" s="136"/>
      <c r="K646" s="136"/>
      <c r="L646" s="136"/>
      <c r="M646" s="136"/>
      <c r="N646" s="136" t="e">
        <f t="shared" si="28"/>
        <v>#N/A</v>
      </c>
      <c r="O646" s="136" t="e">
        <f t="shared" si="29"/>
        <v>#N/A</v>
      </c>
    </row>
    <row r="647" spans="1:15" ht="22.05" customHeight="1" x14ac:dyDescent="0.3">
      <c r="A647" s="136">
        <v>603</v>
      </c>
      <c r="B647" s="165" t="str">
        <f>IF($A647&gt;MIN($A$10,$A$2),"",INDEX(DemoHistory[Date],$A647))</f>
        <v/>
      </c>
      <c r="C647" s="166" t="str">
        <f>IF(OR($A647&gt;MIN($A$10,$A$2),$A$5=""),"",INDEX(DemoHistory[],$A647,MATCH($A$5,DemoHistory[#Headers],0)))</f>
        <v/>
      </c>
      <c r="D647" s="166" t="str">
        <f>IF($A647&gt;MIN($A$10,$A$2),"",IF(AND($A$12,$A$6=1,B647&lt;$A$7,$A$7&lt;=MAX(DemoHistory[Date])),$A$8,1))</f>
        <v/>
      </c>
      <c r="E647" s="166" t="str">
        <f t="shared" si="27"/>
        <v/>
      </c>
      <c r="F647" s="166" t="str">
        <f>IF($A647&gt;MIN($A$10,$A$2),"",IF($A647&lt;50,"n.a.",IF(COUNT(INDEX(StockDaily[Adjusted close],MAX(1,$A647-50+1)):E647)=50,AVERAGE(INDEX(StockDaily[Adjusted close],MAX(1,$A647-50+1)):E647),"n.a.")))</f>
        <v/>
      </c>
      <c r="G647" s="166" t="str">
        <f>IF($A647&gt;MIN($A$10,$A$2),"",IF($A647&lt;200,"n.a.",IF(COUNT(INDEX(StockDaily[Adjusted close],MAX(1,$A647-200+1)):E647)=200,AVERAGE(INDEX(StockDaily[Adjusted close],MAX(1,$A647-200+1)):E647),"n.a.")))</f>
        <v/>
      </c>
      <c r="H647" s="136" t="str">
        <f>IF($A647&gt;MIN($A$10,$A$2),"",IF($A$5="","Choose stock",IF(NOT($A$12),"Check split rule",IF(NOT(ISNUMBER(B647)),"Invalid date",IF(OR(B647&lt;=0,B647&lt;&gt;INT(B647)),"Invalid date",IF(COUNTIFS(DemoHistory[Date],B647)&lt;&gt;1,"Duplicate date",IF(AND($A647&gt;1,B647&lt;=B646),"Dates out of order",IF(NOT(ISNUMBER(C647)),"Missing price",IF(C647&lt;=0,"Nonpositive price","OK")))))))))</f>
        <v/>
      </c>
      <c r="I647" s="136"/>
      <c r="J647" s="136"/>
      <c r="K647" s="136"/>
      <c r="L647" s="136"/>
      <c r="M647" s="136"/>
      <c r="N647" s="136" t="e">
        <f t="shared" si="28"/>
        <v>#N/A</v>
      </c>
      <c r="O647" s="136" t="e">
        <f t="shared" si="29"/>
        <v>#N/A</v>
      </c>
    </row>
    <row r="648" spans="1:15" ht="22.05" customHeight="1" x14ac:dyDescent="0.3">
      <c r="A648" s="136">
        <v>604</v>
      </c>
      <c r="B648" s="165" t="str">
        <f>IF($A648&gt;MIN($A$10,$A$2),"",INDEX(DemoHistory[Date],$A648))</f>
        <v/>
      </c>
      <c r="C648" s="166" t="str">
        <f>IF(OR($A648&gt;MIN($A$10,$A$2),$A$5=""),"",INDEX(DemoHistory[],$A648,MATCH($A$5,DemoHistory[#Headers],0)))</f>
        <v/>
      </c>
      <c r="D648" s="166" t="str">
        <f>IF($A648&gt;MIN($A$10,$A$2),"",IF(AND($A$12,$A$6=1,B648&lt;$A$7,$A$7&lt;=MAX(DemoHistory[Date])),$A$8,1))</f>
        <v/>
      </c>
      <c r="E648" s="166" t="str">
        <f t="shared" si="27"/>
        <v/>
      </c>
      <c r="F648" s="166" t="str">
        <f>IF($A648&gt;MIN($A$10,$A$2),"",IF($A648&lt;50,"n.a.",IF(COUNT(INDEX(StockDaily[Adjusted close],MAX(1,$A648-50+1)):E648)=50,AVERAGE(INDEX(StockDaily[Adjusted close],MAX(1,$A648-50+1)):E648),"n.a.")))</f>
        <v/>
      </c>
      <c r="G648" s="166" t="str">
        <f>IF($A648&gt;MIN($A$10,$A$2),"",IF($A648&lt;200,"n.a.",IF(COUNT(INDEX(StockDaily[Adjusted close],MAX(1,$A648-200+1)):E648)=200,AVERAGE(INDEX(StockDaily[Adjusted close],MAX(1,$A648-200+1)):E648),"n.a.")))</f>
        <v/>
      </c>
      <c r="H648" s="136" t="str">
        <f>IF($A648&gt;MIN($A$10,$A$2),"",IF($A$5="","Choose stock",IF(NOT($A$12),"Check split rule",IF(NOT(ISNUMBER(B648)),"Invalid date",IF(OR(B648&lt;=0,B648&lt;&gt;INT(B648)),"Invalid date",IF(COUNTIFS(DemoHistory[Date],B648)&lt;&gt;1,"Duplicate date",IF(AND($A648&gt;1,B648&lt;=B647),"Dates out of order",IF(NOT(ISNUMBER(C648)),"Missing price",IF(C648&lt;=0,"Nonpositive price","OK")))))))))</f>
        <v/>
      </c>
      <c r="I648" s="136"/>
      <c r="J648" s="136"/>
      <c r="K648" s="136"/>
      <c r="L648" s="136"/>
      <c r="M648" s="136"/>
      <c r="N648" s="136" t="e">
        <f t="shared" si="28"/>
        <v>#N/A</v>
      </c>
      <c r="O648" s="136" t="e">
        <f t="shared" si="29"/>
        <v>#N/A</v>
      </c>
    </row>
    <row r="649" spans="1:15" ht="22.05" customHeight="1" x14ac:dyDescent="0.3">
      <c r="A649" s="136">
        <v>605</v>
      </c>
      <c r="B649" s="165" t="str">
        <f>IF($A649&gt;MIN($A$10,$A$2),"",INDEX(DemoHistory[Date],$A649))</f>
        <v/>
      </c>
      <c r="C649" s="166" t="str">
        <f>IF(OR($A649&gt;MIN($A$10,$A$2),$A$5=""),"",INDEX(DemoHistory[],$A649,MATCH($A$5,DemoHistory[#Headers],0)))</f>
        <v/>
      </c>
      <c r="D649" s="166" t="str">
        <f>IF($A649&gt;MIN($A$10,$A$2),"",IF(AND($A$12,$A$6=1,B649&lt;$A$7,$A$7&lt;=MAX(DemoHistory[Date])),$A$8,1))</f>
        <v/>
      </c>
      <c r="E649" s="166" t="str">
        <f t="shared" si="27"/>
        <v/>
      </c>
      <c r="F649" s="166" t="str">
        <f>IF($A649&gt;MIN($A$10,$A$2),"",IF($A649&lt;50,"n.a.",IF(COUNT(INDEX(StockDaily[Adjusted close],MAX(1,$A649-50+1)):E649)=50,AVERAGE(INDEX(StockDaily[Adjusted close],MAX(1,$A649-50+1)):E649),"n.a.")))</f>
        <v/>
      </c>
      <c r="G649" s="166" t="str">
        <f>IF($A649&gt;MIN($A$10,$A$2),"",IF($A649&lt;200,"n.a.",IF(COUNT(INDEX(StockDaily[Adjusted close],MAX(1,$A649-200+1)):E649)=200,AVERAGE(INDEX(StockDaily[Adjusted close],MAX(1,$A649-200+1)):E649),"n.a.")))</f>
        <v/>
      </c>
      <c r="H649" s="136" t="str">
        <f>IF($A649&gt;MIN($A$10,$A$2),"",IF($A$5="","Choose stock",IF(NOT($A$12),"Check split rule",IF(NOT(ISNUMBER(B649)),"Invalid date",IF(OR(B649&lt;=0,B649&lt;&gt;INT(B649)),"Invalid date",IF(COUNTIFS(DemoHistory[Date],B649)&lt;&gt;1,"Duplicate date",IF(AND($A649&gt;1,B649&lt;=B648),"Dates out of order",IF(NOT(ISNUMBER(C649)),"Missing price",IF(C649&lt;=0,"Nonpositive price","OK")))))))))</f>
        <v/>
      </c>
      <c r="I649" s="136"/>
      <c r="J649" s="136"/>
      <c r="K649" s="136"/>
      <c r="L649" s="136"/>
      <c r="M649" s="136"/>
      <c r="N649" s="136" t="e">
        <f t="shared" si="28"/>
        <v>#N/A</v>
      </c>
      <c r="O649" s="136" t="e">
        <f t="shared" si="29"/>
        <v>#N/A</v>
      </c>
    </row>
    <row r="650" spans="1:15" ht="22.05" customHeight="1" x14ac:dyDescent="0.3">
      <c r="A650" s="136">
        <v>606</v>
      </c>
      <c r="B650" s="165" t="str">
        <f>IF($A650&gt;MIN($A$10,$A$2),"",INDEX(DemoHistory[Date],$A650))</f>
        <v/>
      </c>
      <c r="C650" s="166" t="str">
        <f>IF(OR($A650&gt;MIN($A$10,$A$2),$A$5=""),"",INDEX(DemoHistory[],$A650,MATCH($A$5,DemoHistory[#Headers],0)))</f>
        <v/>
      </c>
      <c r="D650" s="166" t="str">
        <f>IF($A650&gt;MIN($A$10,$A$2),"",IF(AND($A$12,$A$6=1,B650&lt;$A$7,$A$7&lt;=MAX(DemoHistory[Date])),$A$8,1))</f>
        <v/>
      </c>
      <c r="E650" s="166" t="str">
        <f t="shared" si="27"/>
        <v/>
      </c>
      <c r="F650" s="166" t="str">
        <f>IF($A650&gt;MIN($A$10,$A$2),"",IF($A650&lt;50,"n.a.",IF(COUNT(INDEX(StockDaily[Adjusted close],MAX(1,$A650-50+1)):E650)=50,AVERAGE(INDEX(StockDaily[Adjusted close],MAX(1,$A650-50+1)):E650),"n.a.")))</f>
        <v/>
      </c>
      <c r="G650" s="166" t="str">
        <f>IF($A650&gt;MIN($A$10,$A$2),"",IF($A650&lt;200,"n.a.",IF(COUNT(INDEX(StockDaily[Adjusted close],MAX(1,$A650-200+1)):E650)=200,AVERAGE(INDEX(StockDaily[Adjusted close],MAX(1,$A650-200+1)):E650),"n.a.")))</f>
        <v/>
      </c>
      <c r="H650" s="136" t="str">
        <f>IF($A650&gt;MIN($A$10,$A$2),"",IF($A$5="","Choose stock",IF(NOT($A$12),"Check split rule",IF(NOT(ISNUMBER(B650)),"Invalid date",IF(OR(B650&lt;=0,B650&lt;&gt;INT(B650)),"Invalid date",IF(COUNTIFS(DemoHistory[Date],B650)&lt;&gt;1,"Duplicate date",IF(AND($A650&gt;1,B650&lt;=B649),"Dates out of order",IF(NOT(ISNUMBER(C650)),"Missing price",IF(C650&lt;=0,"Nonpositive price","OK")))))))))</f>
        <v/>
      </c>
      <c r="I650" s="136"/>
      <c r="J650" s="136"/>
      <c r="K650" s="136"/>
      <c r="L650" s="136"/>
      <c r="M650" s="136"/>
      <c r="N650" s="136" t="e">
        <f t="shared" si="28"/>
        <v>#N/A</v>
      </c>
      <c r="O650" s="136" t="e">
        <f t="shared" si="29"/>
        <v>#N/A</v>
      </c>
    </row>
    <row r="651" spans="1:15" ht="22.05" customHeight="1" x14ac:dyDescent="0.3">
      <c r="A651" s="136">
        <v>607</v>
      </c>
      <c r="B651" s="165" t="str">
        <f>IF($A651&gt;MIN($A$10,$A$2),"",INDEX(DemoHistory[Date],$A651))</f>
        <v/>
      </c>
      <c r="C651" s="166" t="str">
        <f>IF(OR($A651&gt;MIN($A$10,$A$2),$A$5=""),"",INDEX(DemoHistory[],$A651,MATCH($A$5,DemoHistory[#Headers],0)))</f>
        <v/>
      </c>
      <c r="D651" s="166" t="str">
        <f>IF($A651&gt;MIN($A$10,$A$2),"",IF(AND($A$12,$A$6=1,B651&lt;$A$7,$A$7&lt;=MAX(DemoHistory[Date])),$A$8,1))</f>
        <v/>
      </c>
      <c r="E651" s="166" t="str">
        <f t="shared" si="27"/>
        <v/>
      </c>
      <c r="F651" s="166" t="str">
        <f>IF($A651&gt;MIN($A$10,$A$2),"",IF($A651&lt;50,"n.a.",IF(COUNT(INDEX(StockDaily[Adjusted close],MAX(1,$A651-50+1)):E651)=50,AVERAGE(INDEX(StockDaily[Adjusted close],MAX(1,$A651-50+1)):E651),"n.a.")))</f>
        <v/>
      </c>
      <c r="G651" s="166" t="str">
        <f>IF($A651&gt;MIN($A$10,$A$2),"",IF($A651&lt;200,"n.a.",IF(COUNT(INDEX(StockDaily[Adjusted close],MAX(1,$A651-200+1)):E651)=200,AVERAGE(INDEX(StockDaily[Adjusted close],MAX(1,$A651-200+1)):E651),"n.a.")))</f>
        <v/>
      </c>
      <c r="H651" s="136" t="str">
        <f>IF($A651&gt;MIN($A$10,$A$2),"",IF($A$5="","Choose stock",IF(NOT($A$12),"Check split rule",IF(NOT(ISNUMBER(B651)),"Invalid date",IF(OR(B651&lt;=0,B651&lt;&gt;INT(B651)),"Invalid date",IF(COUNTIFS(DemoHistory[Date],B651)&lt;&gt;1,"Duplicate date",IF(AND($A651&gt;1,B651&lt;=B650),"Dates out of order",IF(NOT(ISNUMBER(C651)),"Missing price",IF(C651&lt;=0,"Nonpositive price","OK")))))))))</f>
        <v/>
      </c>
      <c r="I651" s="136"/>
      <c r="J651" s="136"/>
      <c r="K651" s="136"/>
      <c r="L651" s="136"/>
      <c r="M651" s="136"/>
      <c r="N651" s="136" t="e">
        <f t="shared" si="28"/>
        <v>#N/A</v>
      </c>
      <c r="O651" s="136" t="e">
        <f t="shared" si="29"/>
        <v>#N/A</v>
      </c>
    </row>
    <row r="652" spans="1:15" ht="22.05" customHeight="1" x14ac:dyDescent="0.3">
      <c r="A652" s="136">
        <v>608</v>
      </c>
      <c r="B652" s="165" t="str">
        <f>IF($A652&gt;MIN($A$10,$A$2),"",INDEX(DemoHistory[Date],$A652))</f>
        <v/>
      </c>
      <c r="C652" s="166" t="str">
        <f>IF(OR($A652&gt;MIN($A$10,$A$2),$A$5=""),"",INDEX(DemoHistory[],$A652,MATCH($A$5,DemoHistory[#Headers],0)))</f>
        <v/>
      </c>
      <c r="D652" s="166" t="str">
        <f>IF($A652&gt;MIN($A$10,$A$2),"",IF(AND($A$12,$A$6=1,B652&lt;$A$7,$A$7&lt;=MAX(DemoHistory[Date])),$A$8,1))</f>
        <v/>
      </c>
      <c r="E652" s="166" t="str">
        <f t="shared" si="27"/>
        <v/>
      </c>
      <c r="F652" s="166" t="str">
        <f>IF($A652&gt;MIN($A$10,$A$2),"",IF($A652&lt;50,"n.a.",IF(COUNT(INDEX(StockDaily[Adjusted close],MAX(1,$A652-50+1)):E652)=50,AVERAGE(INDEX(StockDaily[Adjusted close],MAX(1,$A652-50+1)):E652),"n.a.")))</f>
        <v/>
      </c>
      <c r="G652" s="166" t="str">
        <f>IF($A652&gt;MIN($A$10,$A$2),"",IF($A652&lt;200,"n.a.",IF(COUNT(INDEX(StockDaily[Adjusted close],MAX(1,$A652-200+1)):E652)=200,AVERAGE(INDEX(StockDaily[Adjusted close],MAX(1,$A652-200+1)):E652),"n.a.")))</f>
        <v/>
      </c>
      <c r="H652" s="136" t="str">
        <f>IF($A652&gt;MIN($A$10,$A$2),"",IF($A$5="","Choose stock",IF(NOT($A$12),"Check split rule",IF(NOT(ISNUMBER(B652)),"Invalid date",IF(OR(B652&lt;=0,B652&lt;&gt;INT(B652)),"Invalid date",IF(COUNTIFS(DemoHistory[Date],B652)&lt;&gt;1,"Duplicate date",IF(AND($A652&gt;1,B652&lt;=B651),"Dates out of order",IF(NOT(ISNUMBER(C652)),"Missing price",IF(C652&lt;=0,"Nonpositive price","OK")))))))))</f>
        <v/>
      </c>
      <c r="I652" s="136"/>
      <c r="J652" s="136"/>
      <c r="K652" s="136"/>
      <c r="L652" s="136"/>
      <c r="M652" s="136"/>
      <c r="N652" s="136" t="e">
        <f t="shared" si="28"/>
        <v>#N/A</v>
      </c>
      <c r="O652" s="136" t="e">
        <f t="shared" si="29"/>
        <v>#N/A</v>
      </c>
    </row>
    <row r="653" spans="1:15" ht="22.05" customHeight="1" x14ac:dyDescent="0.3">
      <c r="A653" s="136">
        <v>609</v>
      </c>
      <c r="B653" s="165" t="str">
        <f>IF($A653&gt;MIN($A$10,$A$2),"",INDEX(DemoHistory[Date],$A653))</f>
        <v/>
      </c>
      <c r="C653" s="166" t="str">
        <f>IF(OR($A653&gt;MIN($A$10,$A$2),$A$5=""),"",INDEX(DemoHistory[],$A653,MATCH($A$5,DemoHistory[#Headers],0)))</f>
        <v/>
      </c>
      <c r="D653" s="166" t="str">
        <f>IF($A653&gt;MIN($A$10,$A$2),"",IF(AND($A$12,$A$6=1,B653&lt;$A$7,$A$7&lt;=MAX(DemoHistory[Date])),$A$8,1))</f>
        <v/>
      </c>
      <c r="E653" s="166" t="str">
        <f t="shared" si="27"/>
        <v/>
      </c>
      <c r="F653" s="166" t="str">
        <f>IF($A653&gt;MIN($A$10,$A$2),"",IF($A653&lt;50,"n.a.",IF(COUNT(INDEX(StockDaily[Adjusted close],MAX(1,$A653-50+1)):E653)=50,AVERAGE(INDEX(StockDaily[Adjusted close],MAX(1,$A653-50+1)):E653),"n.a.")))</f>
        <v/>
      </c>
      <c r="G653" s="166" t="str">
        <f>IF($A653&gt;MIN($A$10,$A$2),"",IF($A653&lt;200,"n.a.",IF(COUNT(INDEX(StockDaily[Adjusted close],MAX(1,$A653-200+1)):E653)=200,AVERAGE(INDEX(StockDaily[Adjusted close],MAX(1,$A653-200+1)):E653),"n.a.")))</f>
        <v/>
      </c>
      <c r="H653" s="136" t="str">
        <f>IF($A653&gt;MIN($A$10,$A$2),"",IF($A$5="","Choose stock",IF(NOT($A$12),"Check split rule",IF(NOT(ISNUMBER(B653)),"Invalid date",IF(OR(B653&lt;=0,B653&lt;&gt;INT(B653)),"Invalid date",IF(COUNTIFS(DemoHistory[Date],B653)&lt;&gt;1,"Duplicate date",IF(AND($A653&gt;1,B653&lt;=B652),"Dates out of order",IF(NOT(ISNUMBER(C653)),"Missing price",IF(C653&lt;=0,"Nonpositive price","OK")))))))))</f>
        <v/>
      </c>
      <c r="I653" s="136"/>
      <c r="J653" s="136"/>
      <c r="K653" s="136"/>
      <c r="L653" s="136"/>
      <c r="M653" s="136"/>
      <c r="N653" s="136" t="e">
        <f t="shared" si="28"/>
        <v>#N/A</v>
      </c>
      <c r="O653" s="136" t="e">
        <f t="shared" si="29"/>
        <v>#N/A</v>
      </c>
    </row>
    <row r="654" spans="1:15" ht="22.05" customHeight="1" x14ac:dyDescent="0.3">
      <c r="A654" s="136">
        <v>610</v>
      </c>
      <c r="B654" s="165" t="str">
        <f>IF($A654&gt;MIN($A$10,$A$2),"",INDEX(DemoHistory[Date],$A654))</f>
        <v/>
      </c>
      <c r="C654" s="166" t="str">
        <f>IF(OR($A654&gt;MIN($A$10,$A$2),$A$5=""),"",INDEX(DemoHistory[],$A654,MATCH($A$5,DemoHistory[#Headers],0)))</f>
        <v/>
      </c>
      <c r="D654" s="166" t="str">
        <f>IF($A654&gt;MIN($A$10,$A$2),"",IF(AND($A$12,$A$6=1,B654&lt;$A$7,$A$7&lt;=MAX(DemoHistory[Date])),$A$8,1))</f>
        <v/>
      </c>
      <c r="E654" s="166" t="str">
        <f t="shared" si="27"/>
        <v/>
      </c>
      <c r="F654" s="166" t="str">
        <f>IF($A654&gt;MIN($A$10,$A$2),"",IF($A654&lt;50,"n.a.",IF(COUNT(INDEX(StockDaily[Adjusted close],MAX(1,$A654-50+1)):E654)=50,AVERAGE(INDEX(StockDaily[Adjusted close],MAX(1,$A654-50+1)):E654),"n.a.")))</f>
        <v/>
      </c>
      <c r="G654" s="166" t="str">
        <f>IF($A654&gt;MIN($A$10,$A$2),"",IF($A654&lt;200,"n.a.",IF(COUNT(INDEX(StockDaily[Adjusted close],MAX(1,$A654-200+1)):E654)=200,AVERAGE(INDEX(StockDaily[Adjusted close],MAX(1,$A654-200+1)):E654),"n.a.")))</f>
        <v/>
      </c>
      <c r="H654" s="136" t="str">
        <f>IF($A654&gt;MIN($A$10,$A$2),"",IF($A$5="","Choose stock",IF(NOT($A$12),"Check split rule",IF(NOT(ISNUMBER(B654)),"Invalid date",IF(OR(B654&lt;=0,B654&lt;&gt;INT(B654)),"Invalid date",IF(COUNTIFS(DemoHistory[Date],B654)&lt;&gt;1,"Duplicate date",IF(AND($A654&gt;1,B654&lt;=B653),"Dates out of order",IF(NOT(ISNUMBER(C654)),"Missing price",IF(C654&lt;=0,"Nonpositive price","OK")))))))))</f>
        <v/>
      </c>
      <c r="I654" s="136"/>
      <c r="J654" s="136"/>
      <c r="K654" s="136"/>
      <c r="L654" s="136"/>
      <c r="M654" s="136"/>
      <c r="N654" s="136" t="e">
        <f t="shared" si="28"/>
        <v>#N/A</v>
      </c>
      <c r="O654" s="136" t="e">
        <f t="shared" si="29"/>
        <v>#N/A</v>
      </c>
    </row>
    <row r="655" spans="1:15" ht="22.05" customHeight="1" x14ac:dyDescent="0.3">
      <c r="A655" s="136">
        <v>611</v>
      </c>
      <c r="B655" s="165" t="str">
        <f>IF($A655&gt;MIN($A$10,$A$2),"",INDEX(DemoHistory[Date],$A655))</f>
        <v/>
      </c>
      <c r="C655" s="166" t="str">
        <f>IF(OR($A655&gt;MIN($A$10,$A$2),$A$5=""),"",INDEX(DemoHistory[],$A655,MATCH($A$5,DemoHistory[#Headers],0)))</f>
        <v/>
      </c>
      <c r="D655" s="166" t="str">
        <f>IF($A655&gt;MIN($A$10,$A$2),"",IF(AND($A$12,$A$6=1,B655&lt;$A$7,$A$7&lt;=MAX(DemoHistory[Date])),$A$8,1))</f>
        <v/>
      </c>
      <c r="E655" s="166" t="str">
        <f t="shared" si="27"/>
        <v/>
      </c>
      <c r="F655" s="166" t="str">
        <f>IF($A655&gt;MIN($A$10,$A$2),"",IF($A655&lt;50,"n.a.",IF(COUNT(INDEX(StockDaily[Adjusted close],MAX(1,$A655-50+1)):E655)=50,AVERAGE(INDEX(StockDaily[Adjusted close],MAX(1,$A655-50+1)):E655),"n.a.")))</f>
        <v/>
      </c>
      <c r="G655" s="166" t="str">
        <f>IF($A655&gt;MIN($A$10,$A$2),"",IF($A655&lt;200,"n.a.",IF(COUNT(INDEX(StockDaily[Adjusted close],MAX(1,$A655-200+1)):E655)=200,AVERAGE(INDEX(StockDaily[Adjusted close],MAX(1,$A655-200+1)):E655),"n.a.")))</f>
        <v/>
      </c>
      <c r="H655" s="136" t="str">
        <f>IF($A655&gt;MIN($A$10,$A$2),"",IF($A$5="","Choose stock",IF(NOT($A$12),"Check split rule",IF(NOT(ISNUMBER(B655)),"Invalid date",IF(OR(B655&lt;=0,B655&lt;&gt;INT(B655)),"Invalid date",IF(COUNTIFS(DemoHistory[Date],B655)&lt;&gt;1,"Duplicate date",IF(AND($A655&gt;1,B655&lt;=B654),"Dates out of order",IF(NOT(ISNUMBER(C655)),"Missing price",IF(C655&lt;=0,"Nonpositive price","OK")))))))))</f>
        <v/>
      </c>
      <c r="I655" s="136"/>
      <c r="J655" s="136"/>
      <c r="K655" s="136"/>
      <c r="L655" s="136"/>
      <c r="M655" s="136"/>
      <c r="N655" s="136" t="e">
        <f t="shared" si="28"/>
        <v>#N/A</v>
      </c>
      <c r="O655" s="136" t="e">
        <f t="shared" si="29"/>
        <v>#N/A</v>
      </c>
    </row>
    <row r="656" spans="1:15" ht="22.05" customHeight="1" x14ac:dyDescent="0.3">
      <c r="A656" s="136">
        <v>612</v>
      </c>
      <c r="B656" s="165" t="str">
        <f>IF($A656&gt;MIN($A$10,$A$2),"",INDEX(DemoHistory[Date],$A656))</f>
        <v/>
      </c>
      <c r="C656" s="166" t="str">
        <f>IF(OR($A656&gt;MIN($A$10,$A$2),$A$5=""),"",INDEX(DemoHistory[],$A656,MATCH($A$5,DemoHistory[#Headers],0)))</f>
        <v/>
      </c>
      <c r="D656" s="166" t="str">
        <f>IF($A656&gt;MIN($A$10,$A$2),"",IF(AND($A$12,$A$6=1,B656&lt;$A$7,$A$7&lt;=MAX(DemoHistory[Date])),$A$8,1))</f>
        <v/>
      </c>
      <c r="E656" s="166" t="str">
        <f t="shared" si="27"/>
        <v/>
      </c>
      <c r="F656" s="166" t="str">
        <f>IF($A656&gt;MIN($A$10,$A$2),"",IF($A656&lt;50,"n.a.",IF(COUNT(INDEX(StockDaily[Adjusted close],MAX(1,$A656-50+1)):E656)=50,AVERAGE(INDEX(StockDaily[Adjusted close],MAX(1,$A656-50+1)):E656),"n.a.")))</f>
        <v/>
      </c>
      <c r="G656" s="166" t="str">
        <f>IF($A656&gt;MIN($A$10,$A$2),"",IF($A656&lt;200,"n.a.",IF(COUNT(INDEX(StockDaily[Adjusted close],MAX(1,$A656-200+1)):E656)=200,AVERAGE(INDEX(StockDaily[Adjusted close],MAX(1,$A656-200+1)):E656),"n.a.")))</f>
        <v/>
      </c>
      <c r="H656" s="136" t="str">
        <f>IF($A656&gt;MIN($A$10,$A$2),"",IF($A$5="","Choose stock",IF(NOT($A$12),"Check split rule",IF(NOT(ISNUMBER(B656)),"Invalid date",IF(OR(B656&lt;=0,B656&lt;&gt;INT(B656)),"Invalid date",IF(COUNTIFS(DemoHistory[Date],B656)&lt;&gt;1,"Duplicate date",IF(AND($A656&gt;1,B656&lt;=B655),"Dates out of order",IF(NOT(ISNUMBER(C656)),"Missing price",IF(C656&lt;=0,"Nonpositive price","OK")))))))))</f>
        <v/>
      </c>
      <c r="I656" s="136"/>
      <c r="J656" s="136"/>
      <c r="K656" s="136"/>
      <c r="L656" s="136"/>
      <c r="M656" s="136"/>
      <c r="N656" s="136" t="e">
        <f t="shared" si="28"/>
        <v>#N/A</v>
      </c>
      <c r="O656" s="136" t="e">
        <f t="shared" si="29"/>
        <v>#N/A</v>
      </c>
    </row>
    <row r="657" spans="1:15" ht="22.05" customHeight="1" x14ac:dyDescent="0.3">
      <c r="A657" s="136">
        <v>613</v>
      </c>
      <c r="B657" s="165" t="str">
        <f>IF($A657&gt;MIN($A$10,$A$2),"",INDEX(DemoHistory[Date],$A657))</f>
        <v/>
      </c>
      <c r="C657" s="166" t="str">
        <f>IF(OR($A657&gt;MIN($A$10,$A$2),$A$5=""),"",INDEX(DemoHistory[],$A657,MATCH($A$5,DemoHistory[#Headers],0)))</f>
        <v/>
      </c>
      <c r="D657" s="166" t="str">
        <f>IF($A657&gt;MIN($A$10,$A$2),"",IF(AND($A$12,$A$6=1,B657&lt;$A$7,$A$7&lt;=MAX(DemoHistory[Date])),$A$8,1))</f>
        <v/>
      </c>
      <c r="E657" s="166" t="str">
        <f t="shared" si="27"/>
        <v/>
      </c>
      <c r="F657" s="166" t="str">
        <f>IF($A657&gt;MIN($A$10,$A$2),"",IF($A657&lt;50,"n.a.",IF(COUNT(INDEX(StockDaily[Adjusted close],MAX(1,$A657-50+1)):E657)=50,AVERAGE(INDEX(StockDaily[Adjusted close],MAX(1,$A657-50+1)):E657),"n.a.")))</f>
        <v/>
      </c>
      <c r="G657" s="166" t="str">
        <f>IF($A657&gt;MIN($A$10,$A$2),"",IF($A657&lt;200,"n.a.",IF(COUNT(INDEX(StockDaily[Adjusted close],MAX(1,$A657-200+1)):E657)=200,AVERAGE(INDEX(StockDaily[Adjusted close],MAX(1,$A657-200+1)):E657),"n.a.")))</f>
        <v/>
      </c>
      <c r="H657" s="136" t="str">
        <f>IF($A657&gt;MIN($A$10,$A$2),"",IF($A$5="","Choose stock",IF(NOT($A$12),"Check split rule",IF(NOT(ISNUMBER(B657)),"Invalid date",IF(OR(B657&lt;=0,B657&lt;&gt;INT(B657)),"Invalid date",IF(COUNTIFS(DemoHistory[Date],B657)&lt;&gt;1,"Duplicate date",IF(AND($A657&gt;1,B657&lt;=B656),"Dates out of order",IF(NOT(ISNUMBER(C657)),"Missing price",IF(C657&lt;=0,"Nonpositive price","OK")))))))))</f>
        <v/>
      </c>
      <c r="I657" s="136"/>
      <c r="J657" s="136"/>
      <c r="K657" s="136"/>
      <c r="L657" s="136"/>
      <c r="M657" s="136"/>
      <c r="N657" s="136" t="e">
        <f t="shared" si="28"/>
        <v>#N/A</v>
      </c>
      <c r="O657" s="136" t="e">
        <f t="shared" si="29"/>
        <v>#N/A</v>
      </c>
    </row>
    <row r="658" spans="1:15" ht="22.05" customHeight="1" x14ac:dyDescent="0.3">
      <c r="A658" s="136">
        <v>614</v>
      </c>
      <c r="B658" s="165" t="str">
        <f>IF($A658&gt;MIN($A$10,$A$2),"",INDEX(DemoHistory[Date],$A658))</f>
        <v/>
      </c>
      <c r="C658" s="166" t="str">
        <f>IF(OR($A658&gt;MIN($A$10,$A$2),$A$5=""),"",INDEX(DemoHistory[],$A658,MATCH($A$5,DemoHistory[#Headers],0)))</f>
        <v/>
      </c>
      <c r="D658" s="166" t="str">
        <f>IF($A658&gt;MIN($A$10,$A$2),"",IF(AND($A$12,$A$6=1,B658&lt;$A$7,$A$7&lt;=MAX(DemoHistory[Date])),$A$8,1))</f>
        <v/>
      </c>
      <c r="E658" s="166" t="str">
        <f t="shared" si="27"/>
        <v/>
      </c>
      <c r="F658" s="166" t="str">
        <f>IF($A658&gt;MIN($A$10,$A$2),"",IF($A658&lt;50,"n.a.",IF(COUNT(INDEX(StockDaily[Adjusted close],MAX(1,$A658-50+1)):E658)=50,AVERAGE(INDEX(StockDaily[Adjusted close],MAX(1,$A658-50+1)):E658),"n.a.")))</f>
        <v/>
      </c>
      <c r="G658" s="166" t="str">
        <f>IF($A658&gt;MIN($A$10,$A$2),"",IF($A658&lt;200,"n.a.",IF(COUNT(INDEX(StockDaily[Adjusted close],MAX(1,$A658-200+1)):E658)=200,AVERAGE(INDEX(StockDaily[Adjusted close],MAX(1,$A658-200+1)):E658),"n.a.")))</f>
        <v/>
      </c>
      <c r="H658" s="136" t="str">
        <f>IF($A658&gt;MIN($A$10,$A$2),"",IF($A$5="","Choose stock",IF(NOT($A$12),"Check split rule",IF(NOT(ISNUMBER(B658)),"Invalid date",IF(OR(B658&lt;=0,B658&lt;&gt;INT(B658)),"Invalid date",IF(COUNTIFS(DemoHistory[Date],B658)&lt;&gt;1,"Duplicate date",IF(AND($A658&gt;1,B658&lt;=B657),"Dates out of order",IF(NOT(ISNUMBER(C658)),"Missing price",IF(C658&lt;=0,"Nonpositive price","OK")))))))))</f>
        <v/>
      </c>
      <c r="I658" s="136"/>
      <c r="J658" s="136"/>
      <c r="K658" s="136"/>
      <c r="L658" s="136"/>
      <c r="M658" s="136"/>
      <c r="N658" s="136" t="e">
        <f t="shared" si="28"/>
        <v>#N/A</v>
      </c>
      <c r="O658" s="136" t="e">
        <f t="shared" si="29"/>
        <v>#N/A</v>
      </c>
    </row>
    <row r="659" spans="1:15" ht="22.05" customHeight="1" x14ac:dyDescent="0.3">
      <c r="A659" s="136">
        <v>615</v>
      </c>
      <c r="B659" s="165" t="str">
        <f>IF($A659&gt;MIN($A$10,$A$2),"",INDEX(DemoHistory[Date],$A659))</f>
        <v/>
      </c>
      <c r="C659" s="166" t="str">
        <f>IF(OR($A659&gt;MIN($A$10,$A$2),$A$5=""),"",INDEX(DemoHistory[],$A659,MATCH($A$5,DemoHistory[#Headers],0)))</f>
        <v/>
      </c>
      <c r="D659" s="166" t="str">
        <f>IF($A659&gt;MIN($A$10,$A$2),"",IF(AND($A$12,$A$6=1,B659&lt;$A$7,$A$7&lt;=MAX(DemoHistory[Date])),$A$8,1))</f>
        <v/>
      </c>
      <c r="E659" s="166" t="str">
        <f t="shared" si="27"/>
        <v/>
      </c>
      <c r="F659" s="166" t="str">
        <f>IF($A659&gt;MIN($A$10,$A$2),"",IF($A659&lt;50,"n.a.",IF(COUNT(INDEX(StockDaily[Adjusted close],MAX(1,$A659-50+1)):E659)=50,AVERAGE(INDEX(StockDaily[Adjusted close],MAX(1,$A659-50+1)):E659),"n.a.")))</f>
        <v/>
      </c>
      <c r="G659" s="166" t="str">
        <f>IF($A659&gt;MIN($A$10,$A$2),"",IF($A659&lt;200,"n.a.",IF(COUNT(INDEX(StockDaily[Adjusted close],MAX(1,$A659-200+1)):E659)=200,AVERAGE(INDEX(StockDaily[Adjusted close],MAX(1,$A659-200+1)):E659),"n.a.")))</f>
        <v/>
      </c>
      <c r="H659" s="136" t="str">
        <f>IF($A659&gt;MIN($A$10,$A$2),"",IF($A$5="","Choose stock",IF(NOT($A$12),"Check split rule",IF(NOT(ISNUMBER(B659)),"Invalid date",IF(OR(B659&lt;=0,B659&lt;&gt;INT(B659)),"Invalid date",IF(COUNTIFS(DemoHistory[Date],B659)&lt;&gt;1,"Duplicate date",IF(AND($A659&gt;1,B659&lt;=B658),"Dates out of order",IF(NOT(ISNUMBER(C659)),"Missing price",IF(C659&lt;=0,"Nonpositive price","OK")))))))))</f>
        <v/>
      </c>
      <c r="I659" s="136"/>
      <c r="J659" s="136"/>
      <c r="K659" s="136"/>
      <c r="L659" s="136"/>
      <c r="M659" s="136"/>
      <c r="N659" s="136" t="e">
        <f t="shared" si="28"/>
        <v>#N/A</v>
      </c>
      <c r="O659" s="136" t="e">
        <f t="shared" si="29"/>
        <v>#N/A</v>
      </c>
    </row>
    <row r="660" spans="1:15" ht="22.05" customHeight="1" x14ac:dyDescent="0.3">
      <c r="A660" s="136">
        <v>616</v>
      </c>
      <c r="B660" s="165" t="str">
        <f>IF($A660&gt;MIN($A$10,$A$2),"",INDEX(DemoHistory[Date],$A660))</f>
        <v/>
      </c>
      <c r="C660" s="166" t="str">
        <f>IF(OR($A660&gt;MIN($A$10,$A$2),$A$5=""),"",INDEX(DemoHistory[],$A660,MATCH($A$5,DemoHistory[#Headers],0)))</f>
        <v/>
      </c>
      <c r="D660" s="166" t="str">
        <f>IF($A660&gt;MIN($A$10,$A$2),"",IF(AND($A$12,$A$6=1,B660&lt;$A$7,$A$7&lt;=MAX(DemoHistory[Date])),$A$8,1))</f>
        <v/>
      </c>
      <c r="E660" s="166" t="str">
        <f t="shared" si="27"/>
        <v/>
      </c>
      <c r="F660" s="166" t="str">
        <f>IF($A660&gt;MIN($A$10,$A$2),"",IF($A660&lt;50,"n.a.",IF(COUNT(INDEX(StockDaily[Adjusted close],MAX(1,$A660-50+1)):E660)=50,AVERAGE(INDEX(StockDaily[Adjusted close],MAX(1,$A660-50+1)):E660),"n.a.")))</f>
        <v/>
      </c>
      <c r="G660" s="166" t="str">
        <f>IF($A660&gt;MIN($A$10,$A$2),"",IF($A660&lt;200,"n.a.",IF(COUNT(INDEX(StockDaily[Adjusted close],MAX(1,$A660-200+1)):E660)=200,AVERAGE(INDEX(StockDaily[Adjusted close],MAX(1,$A660-200+1)):E660),"n.a.")))</f>
        <v/>
      </c>
      <c r="H660" s="136" t="str">
        <f>IF($A660&gt;MIN($A$10,$A$2),"",IF($A$5="","Choose stock",IF(NOT($A$12),"Check split rule",IF(NOT(ISNUMBER(B660)),"Invalid date",IF(OR(B660&lt;=0,B660&lt;&gt;INT(B660)),"Invalid date",IF(COUNTIFS(DemoHistory[Date],B660)&lt;&gt;1,"Duplicate date",IF(AND($A660&gt;1,B660&lt;=B659),"Dates out of order",IF(NOT(ISNUMBER(C660)),"Missing price",IF(C660&lt;=0,"Nonpositive price","OK")))))))))</f>
        <v/>
      </c>
      <c r="I660" s="136"/>
      <c r="J660" s="136"/>
      <c r="K660" s="136"/>
      <c r="L660" s="136"/>
      <c r="M660" s="136"/>
      <c r="N660" s="136" t="e">
        <f t="shared" si="28"/>
        <v>#N/A</v>
      </c>
      <c r="O660" s="136" t="e">
        <f t="shared" si="29"/>
        <v>#N/A</v>
      </c>
    </row>
    <row r="661" spans="1:15" ht="22.05" customHeight="1" x14ac:dyDescent="0.3">
      <c r="A661" s="136">
        <v>617</v>
      </c>
      <c r="B661" s="165" t="str">
        <f>IF($A661&gt;MIN($A$10,$A$2),"",INDEX(DemoHistory[Date],$A661))</f>
        <v/>
      </c>
      <c r="C661" s="166" t="str">
        <f>IF(OR($A661&gt;MIN($A$10,$A$2),$A$5=""),"",INDEX(DemoHistory[],$A661,MATCH($A$5,DemoHistory[#Headers],0)))</f>
        <v/>
      </c>
      <c r="D661" s="166" t="str">
        <f>IF($A661&gt;MIN($A$10,$A$2),"",IF(AND($A$12,$A$6=1,B661&lt;$A$7,$A$7&lt;=MAX(DemoHistory[Date])),$A$8,1))</f>
        <v/>
      </c>
      <c r="E661" s="166" t="str">
        <f t="shared" si="27"/>
        <v/>
      </c>
      <c r="F661" s="166" t="str">
        <f>IF($A661&gt;MIN($A$10,$A$2),"",IF($A661&lt;50,"n.a.",IF(COUNT(INDEX(StockDaily[Adjusted close],MAX(1,$A661-50+1)):E661)=50,AVERAGE(INDEX(StockDaily[Adjusted close],MAX(1,$A661-50+1)):E661),"n.a.")))</f>
        <v/>
      </c>
      <c r="G661" s="166" t="str">
        <f>IF($A661&gt;MIN($A$10,$A$2),"",IF($A661&lt;200,"n.a.",IF(COUNT(INDEX(StockDaily[Adjusted close],MAX(1,$A661-200+1)):E661)=200,AVERAGE(INDEX(StockDaily[Adjusted close],MAX(1,$A661-200+1)):E661),"n.a.")))</f>
        <v/>
      </c>
      <c r="H661" s="136" t="str">
        <f>IF($A661&gt;MIN($A$10,$A$2),"",IF($A$5="","Choose stock",IF(NOT($A$12),"Check split rule",IF(NOT(ISNUMBER(B661)),"Invalid date",IF(OR(B661&lt;=0,B661&lt;&gt;INT(B661)),"Invalid date",IF(COUNTIFS(DemoHistory[Date],B661)&lt;&gt;1,"Duplicate date",IF(AND($A661&gt;1,B661&lt;=B660),"Dates out of order",IF(NOT(ISNUMBER(C661)),"Missing price",IF(C661&lt;=0,"Nonpositive price","OK")))))))))</f>
        <v/>
      </c>
      <c r="I661" s="136"/>
      <c r="J661" s="136"/>
      <c r="K661" s="136"/>
      <c r="L661" s="136"/>
      <c r="M661" s="136"/>
      <c r="N661" s="136" t="e">
        <f t="shared" si="28"/>
        <v>#N/A</v>
      </c>
      <c r="O661" s="136" t="e">
        <f t="shared" si="29"/>
        <v>#N/A</v>
      </c>
    </row>
    <row r="662" spans="1:15" ht="22.05" customHeight="1" x14ac:dyDescent="0.3">
      <c r="A662" s="136">
        <v>618</v>
      </c>
      <c r="B662" s="165" t="str">
        <f>IF($A662&gt;MIN($A$10,$A$2),"",INDEX(DemoHistory[Date],$A662))</f>
        <v/>
      </c>
      <c r="C662" s="166" t="str">
        <f>IF(OR($A662&gt;MIN($A$10,$A$2),$A$5=""),"",INDEX(DemoHistory[],$A662,MATCH($A$5,DemoHistory[#Headers],0)))</f>
        <v/>
      </c>
      <c r="D662" s="166" t="str">
        <f>IF($A662&gt;MIN($A$10,$A$2),"",IF(AND($A$12,$A$6=1,B662&lt;$A$7,$A$7&lt;=MAX(DemoHistory[Date])),$A$8,1))</f>
        <v/>
      </c>
      <c r="E662" s="166" t="str">
        <f t="shared" si="27"/>
        <v/>
      </c>
      <c r="F662" s="166" t="str">
        <f>IF($A662&gt;MIN($A$10,$A$2),"",IF($A662&lt;50,"n.a.",IF(COUNT(INDEX(StockDaily[Adjusted close],MAX(1,$A662-50+1)):E662)=50,AVERAGE(INDEX(StockDaily[Adjusted close],MAX(1,$A662-50+1)):E662),"n.a.")))</f>
        <v/>
      </c>
      <c r="G662" s="166" t="str">
        <f>IF($A662&gt;MIN($A$10,$A$2),"",IF($A662&lt;200,"n.a.",IF(COUNT(INDEX(StockDaily[Adjusted close],MAX(1,$A662-200+1)):E662)=200,AVERAGE(INDEX(StockDaily[Adjusted close],MAX(1,$A662-200+1)):E662),"n.a.")))</f>
        <v/>
      </c>
      <c r="H662" s="136" t="str">
        <f>IF($A662&gt;MIN($A$10,$A$2),"",IF($A$5="","Choose stock",IF(NOT($A$12),"Check split rule",IF(NOT(ISNUMBER(B662)),"Invalid date",IF(OR(B662&lt;=0,B662&lt;&gt;INT(B662)),"Invalid date",IF(COUNTIFS(DemoHistory[Date],B662)&lt;&gt;1,"Duplicate date",IF(AND($A662&gt;1,B662&lt;=B661),"Dates out of order",IF(NOT(ISNUMBER(C662)),"Missing price",IF(C662&lt;=0,"Nonpositive price","OK")))))))))</f>
        <v/>
      </c>
      <c r="I662" s="136"/>
      <c r="J662" s="136"/>
      <c r="K662" s="136"/>
      <c r="L662" s="136"/>
      <c r="M662" s="136"/>
      <c r="N662" s="136" t="e">
        <f t="shared" si="28"/>
        <v>#N/A</v>
      </c>
      <c r="O662" s="136" t="e">
        <f t="shared" si="29"/>
        <v>#N/A</v>
      </c>
    </row>
    <row r="663" spans="1:15" ht="22.05" customHeight="1" x14ac:dyDescent="0.3">
      <c r="A663" s="136">
        <v>619</v>
      </c>
      <c r="B663" s="165" t="str">
        <f>IF($A663&gt;MIN($A$10,$A$2),"",INDEX(DemoHistory[Date],$A663))</f>
        <v/>
      </c>
      <c r="C663" s="166" t="str">
        <f>IF(OR($A663&gt;MIN($A$10,$A$2),$A$5=""),"",INDEX(DemoHistory[],$A663,MATCH($A$5,DemoHistory[#Headers],0)))</f>
        <v/>
      </c>
      <c r="D663" s="166" t="str">
        <f>IF($A663&gt;MIN($A$10,$A$2),"",IF(AND($A$12,$A$6=1,B663&lt;$A$7,$A$7&lt;=MAX(DemoHistory[Date])),$A$8,1))</f>
        <v/>
      </c>
      <c r="E663" s="166" t="str">
        <f t="shared" si="27"/>
        <v/>
      </c>
      <c r="F663" s="166" t="str">
        <f>IF($A663&gt;MIN($A$10,$A$2),"",IF($A663&lt;50,"n.a.",IF(COUNT(INDEX(StockDaily[Adjusted close],MAX(1,$A663-50+1)):E663)=50,AVERAGE(INDEX(StockDaily[Adjusted close],MAX(1,$A663-50+1)):E663),"n.a.")))</f>
        <v/>
      </c>
      <c r="G663" s="166" t="str">
        <f>IF($A663&gt;MIN($A$10,$A$2),"",IF($A663&lt;200,"n.a.",IF(COUNT(INDEX(StockDaily[Adjusted close],MAX(1,$A663-200+1)):E663)=200,AVERAGE(INDEX(StockDaily[Adjusted close],MAX(1,$A663-200+1)):E663),"n.a.")))</f>
        <v/>
      </c>
      <c r="H663" s="136" t="str">
        <f>IF($A663&gt;MIN($A$10,$A$2),"",IF($A$5="","Choose stock",IF(NOT($A$12),"Check split rule",IF(NOT(ISNUMBER(B663)),"Invalid date",IF(OR(B663&lt;=0,B663&lt;&gt;INT(B663)),"Invalid date",IF(COUNTIFS(DemoHistory[Date],B663)&lt;&gt;1,"Duplicate date",IF(AND($A663&gt;1,B663&lt;=B662),"Dates out of order",IF(NOT(ISNUMBER(C663)),"Missing price",IF(C663&lt;=0,"Nonpositive price","OK")))))))))</f>
        <v/>
      </c>
      <c r="I663" s="136"/>
      <c r="J663" s="136"/>
      <c r="K663" s="136"/>
      <c r="L663" s="136"/>
      <c r="M663" s="136"/>
      <c r="N663" s="136" t="e">
        <f t="shared" si="28"/>
        <v>#N/A</v>
      </c>
      <c r="O663" s="136" t="e">
        <f t="shared" si="29"/>
        <v>#N/A</v>
      </c>
    </row>
    <row r="664" spans="1:15" ht="22.05" customHeight="1" x14ac:dyDescent="0.3">
      <c r="A664" s="136">
        <v>620</v>
      </c>
      <c r="B664" s="165" t="str">
        <f>IF($A664&gt;MIN($A$10,$A$2),"",INDEX(DemoHistory[Date],$A664))</f>
        <v/>
      </c>
      <c r="C664" s="166" t="str">
        <f>IF(OR($A664&gt;MIN($A$10,$A$2),$A$5=""),"",INDEX(DemoHistory[],$A664,MATCH($A$5,DemoHistory[#Headers],0)))</f>
        <v/>
      </c>
      <c r="D664" s="166" t="str">
        <f>IF($A664&gt;MIN($A$10,$A$2),"",IF(AND($A$12,$A$6=1,B664&lt;$A$7,$A$7&lt;=MAX(DemoHistory[Date])),$A$8,1))</f>
        <v/>
      </c>
      <c r="E664" s="166" t="str">
        <f t="shared" si="27"/>
        <v/>
      </c>
      <c r="F664" s="166" t="str">
        <f>IF($A664&gt;MIN($A$10,$A$2),"",IF($A664&lt;50,"n.a.",IF(COUNT(INDEX(StockDaily[Adjusted close],MAX(1,$A664-50+1)):E664)=50,AVERAGE(INDEX(StockDaily[Adjusted close],MAX(1,$A664-50+1)):E664),"n.a.")))</f>
        <v/>
      </c>
      <c r="G664" s="166" t="str">
        <f>IF($A664&gt;MIN($A$10,$A$2),"",IF($A664&lt;200,"n.a.",IF(COUNT(INDEX(StockDaily[Adjusted close],MAX(1,$A664-200+1)):E664)=200,AVERAGE(INDEX(StockDaily[Adjusted close],MAX(1,$A664-200+1)):E664),"n.a.")))</f>
        <v/>
      </c>
      <c r="H664" s="136" t="str">
        <f>IF($A664&gt;MIN($A$10,$A$2),"",IF($A$5="","Choose stock",IF(NOT($A$12),"Check split rule",IF(NOT(ISNUMBER(B664)),"Invalid date",IF(OR(B664&lt;=0,B664&lt;&gt;INT(B664)),"Invalid date",IF(COUNTIFS(DemoHistory[Date],B664)&lt;&gt;1,"Duplicate date",IF(AND($A664&gt;1,B664&lt;=B663),"Dates out of order",IF(NOT(ISNUMBER(C664)),"Missing price",IF(C664&lt;=0,"Nonpositive price","OK")))))))))</f>
        <v/>
      </c>
      <c r="I664" s="136"/>
      <c r="J664" s="136"/>
      <c r="K664" s="136"/>
      <c r="L664" s="136"/>
      <c r="M664" s="136"/>
      <c r="N664" s="136" t="e">
        <f t="shared" si="28"/>
        <v>#N/A</v>
      </c>
      <c r="O664" s="136" t="e">
        <f t="shared" si="29"/>
        <v>#N/A</v>
      </c>
    </row>
    <row r="665" spans="1:15" ht="22.05" customHeight="1" x14ac:dyDescent="0.3">
      <c r="A665" s="136">
        <v>621</v>
      </c>
      <c r="B665" s="165" t="str">
        <f>IF($A665&gt;MIN($A$10,$A$2),"",INDEX(DemoHistory[Date],$A665))</f>
        <v/>
      </c>
      <c r="C665" s="166" t="str">
        <f>IF(OR($A665&gt;MIN($A$10,$A$2),$A$5=""),"",INDEX(DemoHistory[],$A665,MATCH($A$5,DemoHistory[#Headers],0)))</f>
        <v/>
      </c>
      <c r="D665" s="166" t="str">
        <f>IF($A665&gt;MIN($A$10,$A$2),"",IF(AND($A$12,$A$6=1,B665&lt;$A$7,$A$7&lt;=MAX(DemoHistory[Date])),$A$8,1))</f>
        <v/>
      </c>
      <c r="E665" s="166" t="str">
        <f t="shared" si="27"/>
        <v/>
      </c>
      <c r="F665" s="166" t="str">
        <f>IF($A665&gt;MIN($A$10,$A$2),"",IF($A665&lt;50,"n.a.",IF(COUNT(INDEX(StockDaily[Adjusted close],MAX(1,$A665-50+1)):E665)=50,AVERAGE(INDEX(StockDaily[Adjusted close],MAX(1,$A665-50+1)):E665),"n.a.")))</f>
        <v/>
      </c>
      <c r="G665" s="166" t="str">
        <f>IF($A665&gt;MIN($A$10,$A$2),"",IF($A665&lt;200,"n.a.",IF(COUNT(INDEX(StockDaily[Adjusted close],MAX(1,$A665-200+1)):E665)=200,AVERAGE(INDEX(StockDaily[Adjusted close],MAX(1,$A665-200+1)):E665),"n.a.")))</f>
        <v/>
      </c>
      <c r="H665" s="136" t="str">
        <f>IF($A665&gt;MIN($A$10,$A$2),"",IF($A$5="","Choose stock",IF(NOT($A$12),"Check split rule",IF(NOT(ISNUMBER(B665)),"Invalid date",IF(OR(B665&lt;=0,B665&lt;&gt;INT(B665)),"Invalid date",IF(COUNTIFS(DemoHistory[Date],B665)&lt;&gt;1,"Duplicate date",IF(AND($A665&gt;1,B665&lt;=B664),"Dates out of order",IF(NOT(ISNUMBER(C665)),"Missing price",IF(C665&lt;=0,"Nonpositive price","OK")))))))))</f>
        <v/>
      </c>
      <c r="I665" s="136"/>
      <c r="J665" s="136"/>
      <c r="K665" s="136"/>
      <c r="L665" s="136"/>
      <c r="M665" s="136"/>
      <c r="N665" s="136" t="e">
        <f t="shared" si="28"/>
        <v>#N/A</v>
      </c>
      <c r="O665" s="136" t="e">
        <f t="shared" si="29"/>
        <v>#N/A</v>
      </c>
    </row>
    <row r="666" spans="1:15" ht="22.05" customHeight="1" x14ac:dyDescent="0.3">
      <c r="A666" s="136">
        <v>622</v>
      </c>
      <c r="B666" s="165" t="str">
        <f>IF($A666&gt;MIN($A$10,$A$2),"",INDEX(DemoHistory[Date],$A666))</f>
        <v/>
      </c>
      <c r="C666" s="166" t="str">
        <f>IF(OR($A666&gt;MIN($A$10,$A$2),$A$5=""),"",INDEX(DemoHistory[],$A666,MATCH($A$5,DemoHistory[#Headers],0)))</f>
        <v/>
      </c>
      <c r="D666" s="166" t="str">
        <f>IF($A666&gt;MIN($A$10,$A$2),"",IF(AND($A$12,$A$6=1,B666&lt;$A$7,$A$7&lt;=MAX(DemoHistory[Date])),$A$8,1))</f>
        <v/>
      </c>
      <c r="E666" s="166" t="str">
        <f t="shared" si="27"/>
        <v/>
      </c>
      <c r="F666" s="166" t="str">
        <f>IF($A666&gt;MIN($A$10,$A$2),"",IF($A666&lt;50,"n.a.",IF(COUNT(INDEX(StockDaily[Adjusted close],MAX(1,$A666-50+1)):E666)=50,AVERAGE(INDEX(StockDaily[Adjusted close],MAX(1,$A666-50+1)):E666),"n.a.")))</f>
        <v/>
      </c>
      <c r="G666" s="166" t="str">
        <f>IF($A666&gt;MIN($A$10,$A$2),"",IF($A666&lt;200,"n.a.",IF(COUNT(INDEX(StockDaily[Adjusted close],MAX(1,$A666-200+1)):E666)=200,AVERAGE(INDEX(StockDaily[Adjusted close],MAX(1,$A666-200+1)):E666),"n.a.")))</f>
        <v/>
      </c>
      <c r="H666" s="136" t="str">
        <f>IF($A666&gt;MIN($A$10,$A$2),"",IF($A$5="","Choose stock",IF(NOT($A$12),"Check split rule",IF(NOT(ISNUMBER(B666)),"Invalid date",IF(OR(B666&lt;=0,B666&lt;&gt;INT(B666)),"Invalid date",IF(COUNTIFS(DemoHistory[Date],B666)&lt;&gt;1,"Duplicate date",IF(AND($A666&gt;1,B666&lt;=B665),"Dates out of order",IF(NOT(ISNUMBER(C666)),"Missing price",IF(C666&lt;=0,"Nonpositive price","OK")))))))))</f>
        <v/>
      </c>
      <c r="I666" s="136"/>
      <c r="J666" s="136"/>
      <c r="K666" s="136"/>
      <c r="L666" s="136"/>
      <c r="M666" s="136"/>
      <c r="N666" s="136" t="e">
        <f t="shared" si="28"/>
        <v>#N/A</v>
      </c>
      <c r="O666" s="136" t="e">
        <f t="shared" si="29"/>
        <v>#N/A</v>
      </c>
    </row>
    <row r="667" spans="1:15" ht="22.05" customHeight="1" x14ac:dyDescent="0.3">
      <c r="A667" s="136">
        <v>623</v>
      </c>
      <c r="B667" s="165" t="str">
        <f>IF($A667&gt;MIN($A$10,$A$2),"",INDEX(DemoHistory[Date],$A667))</f>
        <v/>
      </c>
      <c r="C667" s="166" t="str">
        <f>IF(OR($A667&gt;MIN($A$10,$A$2),$A$5=""),"",INDEX(DemoHistory[],$A667,MATCH($A$5,DemoHistory[#Headers],0)))</f>
        <v/>
      </c>
      <c r="D667" s="166" t="str">
        <f>IF($A667&gt;MIN($A$10,$A$2),"",IF(AND($A$12,$A$6=1,B667&lt;$A$7,$A$7&lt;=MAX(DemoHistory[Date])),$A$8,1))</f>
        <v/>
      </c>
      <c r="E667" s="166" t="str">
        <f t="shared" si="27"/>
        <v/>
      </c>
      <c r="F667" s="166" t="str">
        <f>IF($A667&gt;MIN($A$10,$A$2),"",IF($A667&lt;50,"n.a.",IF(COUNT(INDEX(StockDaily[Adjusted close],MAX(1,$A667-50+1)):E667)=50,AVERAGE(INDEX(StockDaily[Adjusted close],MAX(1,$A667-50+1)):E667),"n.a.")))</f>
        <v/>
      </c>
      <c r="G667" s="166" t="str">
        <f>IF($A667&gt;MIN($A$10,$A$2),"",IF($A667&lt;200,"n.a.",IF(COUNT(INDEX(StockDaily[Adjusted close],MAX(1,$A667-200+1)):E667)=200,AVERAGE(INDEX(StockDaily[Adjusted close],MAX(1,$A667-200+1)):E667),"n.a.")))</f>
        <v/>
      </c>
      <c r="H667" s="136" t="str">
        <f>IF($A667&gt;MIN($A$10,$A$2),"",IF($A$5="","Choose stock",IF(NOT($A$12),"Check split rule",IF(NOT(ISNUMBER(B667)),"Invalid date",IF(OR(B667&lt;=0,B667&lt;&gt;INT(B667)),"Invalid date",IF(COUNTIFS(DemoHistory[Date],B667)&lt;&gt;1,"Duplicate date",IF(AND($A667&gt;1,B667&lt;=B666),"Dates out of order",IF(NOT(ISNUMBER(C667)),"Missing price",IF(C667&lt;=0,"Nonpositive price","OK")))))))))</f>
        <v/>
      </c>
      <c r="I667" s="136"/>
      <c r="J667" s="136"/>
      <c r="K667" s="136"/>
      <c r="L667" s="136"/>
      <c r="M667" s="136"/>
      <c r="N667" s="136" t="e">
        <f t="shared" si="28"/>
        <v>#N/A</v>
      </c>
      <c r="O667" s="136" t="e">
        <f t="shared" si="29"/>
        <v>#N/A</v>
      </c>
    </row>
    <row r="668" spans="1:15" ht="22.05" customHeight="1" x14ac:dyDescent="0.3">
      <c r="A668" s="136">
        <v>624</v>
      </c>
      <c r="B668" s="165" t="str">
        <f>IF($A668&gt;MIN($A$10,$A$2),"",INDEX(DemoHistory[Date],$A668))</f>
        <v/>
      </c>
      <c r="C668" s="166" t="str">
        <f>IF(OR($A668&gt;MIN($A$10,$A$2),$A$5=""),"",INDEX(DemoHistory[],$A668,MATCH($A$5,DemoHistory[#Headers],0)))</f>
        <v/>
      </c>
      <c r="D668" s="166" t="str">
        <f>IF($A668&gt;MIN($A$10,$A$2),"",IF(AND($A$12,$A$6=1,B668&lt;$A$7,$A$7&lt;=MAX(DemoHistory[Date])),$A$8,1))</f>
        <v/>
      </c>
      <c r="E668" s="166" t="str">
        <f t="shared" si="27"/>
        <v/>
      </c>
      <c r="F668" s="166" t="str">
        <f>IF($A668&gt;MIN($A$10,$A$2),"",IF($A668&lt;50,"n.a.",IF(COUNT(INDEX(StockDaily[Adjusted close],MAX(1,$A668-50+1)):E668)=50,AVERAGE(INDEX(StockDaily[Adjusted close],MAX(1,$A668-50+1)):E668),"n.a.")))</f>
        <v/>
      </c>
      <c r="G668" s="166" t="str">
        <f>IF($A668&gt;MIN($A$10,$A$2),"",IF($A668&lt;200,"n.a.",IF(COUNT(INDEX(StockDaily[Adjusted close],MAX(1,$A668-200+1)):E668)=200,AVERAGE(INDEX(StockDaily[Adjusted close],MAX(1,$A668-200+1)):E668),"n.a.")))</f>
        <v/>
      </c>
      <c r="H668" s="136" t="str">
        <f>IF($A668&gt;MIN($A$10,$A$2),"",IF($A$5="","Choose stock",IF(NOT($A$12),"Check split rule",IF(NOT(ISNUMBER(B668)),"Invalid date",IF(OR(B668&lt;=0,B668&lt;&gt;INT(B668)),"Invalid date",IF(COUNTIFS(DemoHistory[Date],B668)&lt;&gt;1,"Duplicate date",IF(AND($A668&gt;1,B668&lt;=B667),"Dates out of order",IF(NOT(ISNUMBER(C668)),"Missing price",IF(C668&lt;=0,"Nonpositive price","OK")))))))))</f>
        <v/>
      </c>
      <c r="I668" s="136"/>
      <c r="J668" s="136"/>
      <c r="K668" s="136"/>
      <c r="L668" s="136"/>
      <c r="M668" s="136"/>
      <c r="N668" s="136" t="e">
        <f t="shared" si="28"/>
        <v>#N/A</v>
      </c>
      <c r="O668" s="136" t="e">
        <f t="shared" si="29"/>
        <v>#N/A</v>
      </c>
    </row>
    <row r="669" spans="1:15" ht="22.05" customHeight="1" x14ac:dyDescent="0.3">
      <c r="A669" s="136">
        <v>625</v>
      </c>
      <c r="B669" s="165" t="str">
        <f>IF($A669&gt;MIN($A$10,$A$2),"",INDEX(DemoHistory[Date],$A669))</f>
        <v/>
      </c>
      <c r="C669" s="166" t="str">
        <f>IF(OR($A669&gt;MIN($A$10,$A$2),$A$5=""),"",INDEX(DemoHistory[],$A669,MATCH($A$5,DemoHistory[#Headers],0)))</f>
        <v/>
      </c>
      <c r="D669" s="166" t="str">
        <f>IF($A669&gt;MIN($A$10,$A$2),"",IF(AND($A$12,$A$6=1,B669&lt;$A$7,$A$7&lt;=MAX(DemoHistory[Date])),$A$8,1))</f>
        <v/>
      </c>
      <c r="E669" s="166" t="str">
        <f t="shared" si="27"/>
        <v/>
      </c>
      <c r="F669" s="166" t="str">
        <f>IF($A669&gt;MIN($A$10,$A$2),"",IF($A669&lt;50,"n.a.",IF(COUNT(INDEX(StockDaily[Adjusted close],MAX(1,$A669-50+1)):E669)=50,AVERAGE(INDEX(StockDaily[Adjusted close],MAX(1,$A669-50+1)):E669),"n.a.")))</f>
        <v/>
      </c>
      <c r="G669" s="166" t="str">
        <f>IF($A669&gt;MIN($A$10,$A$2),"",IF($A669&lt;200,"n.a.",IF(COUNT(INDEX(StockDaily[Adjusted close],MAX(1,$A669-200+1)):E669)=200,AVERAGE(INDEX(StockDaily[Adjusted close],MAX(1,$A669-200+1)):E669),"n.a.")))</f>
        <v/>
      </c>
      <c r="H669" s="136" t="str">
        <f>IF($A669&gt;MIN($A$10,$A$2),"",IF($A$5="","Choose stock",IF(NOT($A$12),"Check split rule",IF(NOT(ISNUMBER(B669)),"Invalid date",IF(OR(B669&lt;=0,B669&lt;&gt;INT(B669)),"Invalid date",IF(COUNTIFS(DemoHistory[Date],B669)&lt;&gt;1,"Duplicate date",IF(AND($A669&gt;1,B669&lt;=B668),"Dates out of order",IF(NOT(ISNUMBER(C669)),"Missing price",IF(C669&lt;=0,"Nonpositive price","OK")))))))))</f>
        <v/>
      </c>
      <c r="I669" s="136"/>
      <c r="J669" s="136"/>
      <c r="K669" s="136"/>
      <c r="L669" s="136"/>
      <c r="M669" s="136"/>
      <c r="N669" s="136" t="e">
        <f t="shared" si="28"/>
        <v>#N/A</v>
      </c>
      <c r="O669" s="136" t="e">
        <f t="shared" si="29"/>
        <v>#N/A</v>
      </c>
    </row>
    <row r="670" spans="1:15" ht="22.05" customHeight="1" x14ac:dyDescent="0.3">
      <c r="A670" s="136">
        <v>626</v>
      </c>
      <c r="B670" s="165" t="str">
        <f>IF($A670&gt;MIN($A$10,$A$2),"",INDEX(DemoHistory[Date],$A670))</f>
        <v/>
      </c>
      <c r="C670" s="166" t="str">
        <f>IF(OR($A670&gt;MIN($A$10,$A$2),$A$5=""),"",INDEX(DemoHistory[],$A670,MATCH($A$5,DemoHistory[#Headers],0)))</f>
        <v/>
      </c>
      <c r="D670" s="166" t="str">
        <f>IF($A670&gt;MIN($A$10,$A$2),"",IF(AND($A$12,$A$6=1,B670&lt;$A$7,$A$7&lt;=MAX(DemoHistory[Date])),$A$8,1))</f>
        <v/>
      </c>
      <c r="E670" s="166" t="str">
        <f t="shared" si="27"/>
        <v/>
      </c>
      <c r="F670" s="166" t="str">
        <f>IF($A670&gt;MIN($A$10,$A$2),"",IF($A670&lt;50,"n.a.",IF(COUNT(INDEX(StockDaily[Adjusted close],MAX(1,$A670-50+1)):E670)=50,AVERAGE(INDEX(StockDaily[Adjusted close],MAX(1,$A670-50+1)):E670),"n.a.")))</f>
        <v/>
      </c>
      <c r="G670" s="166" t="str">
        <f>IF($A670&gt;MIN($A$10,$A$2),"",IF($A670&lt;200,"n.a.",IF(COUNT(INDEX(StockDaily[Adjusted close],MAX(1,$A670-200+1)):E670)=200,AVERAGE(INDEX(StockDaily[Adjusted close],MAX(1,$A670-200+1)):E670),"n.a.")))</f>
        <v/>
      </c>
      <c r="H670" s="136" t="str">
        <f>IF($A670&gt;MIN($A$10,$A$2),"",IF($A$5="","Choose stock",IF(NOT($A$12),"Check split rule",IF(NOT(ISNUMBER(B670)),"Invalid date",IF(OR(B670&lt;=0,B670&lt;&gt;INT(B670)),"Invalid date",IF(COUNTIFS(DemoHistory[Date],B670)&lt;&gt;1,"Duplicate date",IF(AND($A670&gt;1,B670&lt;=B669),"Dates out of order",IF(NOT(ISNUMBER(C670)),"Missing price",IF(C670&lt;=0,"Nonpositive price","OK")))))))))</f>
        <v/>
      </c>
      <c r="I670" s="136"/>
      <c r="J670" s="136"/>
      <c r="K670" s="136"/>
      <c r="L670" s="136"/>
      <c r="M670" s="136"/>
      <c r="N670" s="136" t="e">
        <f t="shared" si="28"/>
        <v>#N/A</v>
      </c>
      <c r="O670" s="136" t="e">
        <f t="shared" si="29"/>
        <v>#N/A</v>
      </c>
    </row>
    <row r="671" spans="1:15" ht="22.05" customHeight="1" x14ac:dyDescent="0.3">
      <c r="A671" s="136">
        <v>627</v>
      </c>
      <c r="B671" s="165" t="str">
        <f>IF($A671&gt;MIN($A$10,$A$2),"",INDEX(DemoHistory[Date],$A671))</f>
        <v/>
      </c>
      <c r="C671" s="166" t="str">
        <f>IF(OR($A671&gt;MIN($A$10,$A$2),$A$5=""),"",INDEX(DemoHistory[],$A671,MATCH($A$5,DemoHistory[#Headers],0)))</f>
        <v/>
      </c>
      <c r="D671" s="166" t="str">
        <f>IF($A671&gt;MIN($A$10,$A$2),"",IF(AND($A$12,$A$6=1,B671&lt;$A$7,$A$7&lt;=MAX(DemoHistory[Date])),$A$8,1))</f>
        <v/>
      </c>
      <c r="E671" s="166" t="str">
        <f t="shared" si="27"/>
        <v/>
      </c>
      <c r="F671" s="166" t="str">
        <f>IF($A671&gt;MIN($A$10,$A$2),"",IF($A671&lt;50,"n.a.",IF(COUNT(INDEX(StockDaily[Adjusted close],MAX(1,$A671-50+1)):E671)=50,AVERAGE(INDEX(StockDaily[Adjusted close],MAX(1,$A671-50+1)):E671),"n.a.")))</f>
        <v/>
      </c>
      <c r="G671" s="166" t="str">
        <f>IF($A671&gt;MIN($A$10,$A$2),"",IF($A671&lt;200,"n.a.",IF(COUNT(INDEX(StockDaily[Adjusted close],MAX(1,$A671-200+1)):E671)=200,AVERAGE(INDEX(StockDaily[Adjusted close],MAX(1,$A671-200+1)):E671),"n.a.")))</f>
        <v/>
      </c>
      <c r="H671" s="136" t="str">
        <f>IF($A671&gt;MIN($A$10,$A$2),"",IF($A$5="","Choose stock",IF(NOT($A$12),"Check split rule",IF(NOT(ISNUMBER(B671)),"Invalid date",IF(OR(B671&lt;=0,B671&lt;&gt;INT(B671)),"Invalid date",IF(COUNTIFS(DemoHistory[Date],B671)&lt;&gt;1,"Duplicate date",IF(AND($A671&gt;1,B671&lt;=B670),"Dates out of order",IF(NOT(ISNUMBER(C671)),"Missing price",IF(C671&lt;=0,"Nonpositive price","OK")))))))))</f>
        <v/>
      </c>
      <c r="I671" s="136"/>
      <c r="J671" s="136"/>
      <c r="K671" s="136"/>
      <c r="L671" s="136"/>
      <c r="M671" s="136"/>
      <c r="N671" s="136" t="e">
        <f t="shared" si="28"/>
        <v>#N/A</v>
      </c>
      <c r="O671" s="136" t="e">
        <f t="shared" si="29"/>
        <v>#N/A</v>
      </c>
    </row>
    <row r="672" spans="1:15" ht="22.05" customHeight="1" x14ac:dyDescent="0.3">
      <c r="A672" s="136">
        <v>628</v>
      </c>
      <c r="B672" s="165" t="str">
        <f>IF($A672&gt;MIN($A$10,$A$2),"",INDEX(DemoHistory[Date],$A672))</f>
        <v/>
      </c>
      <c r="C672" s="166" t="str">
        <f>IF(OR($A672&gt;MIN($A$10,$A$2),$A$5=""),"",INDEX(DemoHistory[],$A672,MATCH($A$5,DemoHistory[#Headers],0)))</f>
        <v/>
      </c>
      <c r="D672" s="166" t="str">
        <f>IF($A672&gt;MIN($A$10,$A$2),"",IF(AND($A$12,$A$6=1,B672&lt;$A$7,$A$7&lt;=MAX(DemoHistory[Date])),$A$8,1))</f>
        <v/>
      </c>
      <c r="E672" s="166" t="str">
        <f t="shared" si="27"/>
        <v/>
      </c>
      <c r="F672" s="166" t="str">
        <f>IF($A672&gt;MIN($A$10,$A$2),"",IF($A672&lt;50,"n.a.",IF(COUNT(INDEX(StockDaily[Adjusted close],MAX(1,$A672-50+1)):E672)=50,AVERAGE(INDEX(StockDaily[Adjusted close],MAX(1,$A672-50+1)):E672),"n.a.")))</f>
        <v/>
      </c>
      <c r="G672" s="166" t="str">
        <f>IF($A672&gt;MIN($A$10,$A$2),"",IF($A672&lt;200,"n.a.",IF(COUNT(INDEX(StockDaily[Adjusted close],MAX(1,$A672-200+1)):E672)=200,AVERAGE(INDEX(StockDaily[Adjusted close],MAX(1,$A672-200+1)):E672),"n.a.")))</f>
        <v/>
      </c>
      <c r="H672" s="136" t="str">
        <f>IF($A672&gt;MIN($A$10,$A$2),"",IF($A$5="","Choose stock",IF(NOT($A$12),"Check split rule",IF(NOT(ISNUMBER(B672)),"Invalid date",IF(OR(B672&lt;=0,B672&lt;&gt;INT(B672)),"Invalid date",IF(COUNTIFS(DemoHistory[Date],B672)&lt;&gt;1,"Duplicate date",IF(AND($A672&gt;1,B672&lt;=B671),"Dates out of order",IF(NOT(ISNUMBER(C672)),"Missing price",IF(C672&lt;=0,"Nonpositive price","OK")))))))))</f>
        <v/>
      </c>
      <c r="I672" s="136"/>
      <c r="J672" s="136"/>
      <c r="K672" s="136"/>
      <c r="L672" s="136"/>
      <c r="M672" s="136"/>
      <c r="N672" s="136" t="e">
        <f t="shared" si="28"/>
        <v>#N/A</v>
      </c>
      <c r="O672" s="136" t="e">
        <f t="shared" si="29"/>
        <v>#N/A</v>
      </c>
    </row>
    <row r="673" spans="1:15" ht="22.05" customHeight="1" x14ac:dyDescent="0.3">
      <c r="A673" s="136">
        <v>629</v>
      </c>
      <c r="B673" s="165" t="str">
        <f>IF($A673&gt;MIN($A$10,$A$2),"",INDEX(DemoHistory[Date],$A673))</f>
        <v/>
      </c>
      <c r="C673" s="166" t="str">
        <f>IF(OR($A673&gt;MIN($A$10,$A$2),$A$5=""),"",INDEX(DemoHistory[],$A673,MATCH($A$5,DemoHistory[#Headers],0)))</f>
        <v/>
      </c>
      <c r="D673" s="166" t="str">
        <f>IF($A673&gt;MIN($A$10,$A$2),"",IF(AND($A$12,$A$6=1,B673&lt;$A$7,$A$7&lt;=MAX(DemoHistory[Date])),$A$8,1))</f>
        <v/>
      </c>
      <c r="E673" s="166" t="str">
        <f t="shared" si="27"/>
        <v/>
      </c>
      <c r="F673" s="166" t="str">
        <f>IF($A673&gt;MIN($A$10,$A$2),"",IF($A673&lt;50,"n.a.",IF(COUNT(INDEX(StockDaily[Adjusted close],MAX(1,$A673-50+1)):E673)=50,AVERAGE(INDEX(StockDaily[Adjusted close],MAX(1,$A673-50+1)):E673),"n.a.")))</f>
        <v/>
      </c>
      <c r="G673" s="166" t="str">
        <f>IF($A673&gt;MIN($A$10,$A$2),"",IF($A673&lt;200,"n.a.",IF(COUNT(INDEX(StockDaily[Adjusted close],MAX(1,$A673-200+1)):E673)=200,AVERAGE(INDEX(StockDaily[Adjusted close],MAX(1,$A673-200+1)):E673),"n.a.")))</f>
        <v/>
      </c>
      <c r="H673" s="136" t="str">
        <f>IF($A673&gt;MIN($A$10,$A$2),"",IF($A$5="","Choose stock",IF(NOT($A$12),"Check split rule",IF(NOT(ISNUMBER(B673)),"Invalid date",IF(OR(B673&lt;=0,B673&lt;&gt;INT(B673)),"Invalid date",IF(COUNTIFS(DemoHistory[Date],B673)&lt;&gt;1,"Duplicate date",IF(AND($A673&gt;1,B673&lt;=B672),"Dates out of order",IF(NOT(ISNUMBER(C673)),"Missing price",IF(C673&lt;=0,"Nonpositive price","OK")))))))))</f>
        <v/>
      </c>
      <c r="I673" s="136"/>
      <c r="J673" s="136"/>
      <c r="K673" s="136"/>
      <c r="L673" s="136"/>
      <c r="M673" s="136"/>
      <c r="N673" s="136" t="e">
        <f t="shared" si="28"/>
        <v>#N/A</v>
      </c>
      <c r="O673" s="136" t="e">
        <f t="shared" si="29"/>
        <v>#N/A</v>
      </c>
    </row>
    <row r="674" spans="1:15" ht="22.05" customHeight="1" x14ac:dyDescent="0.3">
      <c r="A674" s="136">
        <v>630</v>
      </c>
      <c r="B674" s="165" t="str">
        <f>IF($A674&gt;MIN($A$10,$A$2),"",INDEX(DemoHistory[Date],$A674))</f>
        <v/>
      </c>
      <c r="C674" s="166" t="str">
        <f>IF(OR($A674&gt;MIN($A$10,$A$2),$A$5=""),"",INDEX(DemoHistory[],$A674,MATCH($A$5,DemoHistory[#Headers],0)))</f>
        <v/>
      </c>
      <c r="D674" s="166" t="str">
        <f>IF($A674&gt;MIN($A$10,$A$2),"",IF(AND($A$12,$A$6=1,B674&lt;$A$7,$A$7&lt;=MAX(DemoHistory[Date])),$A$8,1))</f>
        <v/>
      </c>
      <c r="E674" s="166" t="str">
        <f t="shared" si="27"/>
        <v/>
      </c>
      <c r="F674" s="166" t="str">
        <f>IF($A674&gt;MIN($A$10,$A$2),"",IF($A674&lt;50,"n.a.",IF(COUNT(INDEX(StockDaily[Adjusted close],MAX(1,$A674-50+1)):E674)=50,AVERAGE(INDEX(StockDaily[Adjusted close],MAX(1,$A674-50+1)):E674),"n.a.")))</f>
        <v/>
      </c>
      <c r="G674" s="166" t="str">
        <f>IF($A674&gt;MIN($A$10,$A$2),"",IF($A674&lt;200,"n.a.",IF(COUNT(INDEX(StockDaily[Adjusted close],MAX(1,$A674-200+1)):E674)=200,AVERAGE(INDEX(StockDaily[Adjusted close],MAX(1,$A674-200+1)):E674),"n.a.")))</f>
        <v/>
      </c>
      <c r="H674" s="136" t="str">
        <f>IF($A674&gt;MIN($A$10,$A$2),"",IF($A$5="","Choose stock",IF(NOT($A$12),"Check split rule",IF(NOT(ISNUMBER(B674)),"Invalid date",IF(OR(B674&lt;=0,B674&lt;&gt;INT(B674)),"Invalid date",IF(COUNTIFS(DemoHistory[Date],B674)&lt;&gt;1,"Duplicate date",IF(AND($A674&gt;1,B674&lt;=B673),"Dates out of order",IF(NOT(ISNUMBER(C674)),"Missing price",IF(C674&lt;=0,"Nonpositive price","OK")))))))))</f>
        <v/>
      </c>
      <c r="I674" s="136"/>
      <c r="J674" s="136"/>
      <c r="K674" s="136"/>
      <c r="L674" s="136"/>
      <c r="M674" s="136"/>
      <c r="N674" s="136" t="e">
        <f t="shared" si="28"/>
        <v>#N/A</v>
      </c>
      <c r="O674" s="136" t="e">
        <f t="shared" si="29"/>
        <v>#N/A</v>
      </c>
    </row>
    <row r="675" spans="1:15" ht="22.05" customHeight="1" x14ac:dyDescent="0.3">
      <c r="A675" s="136">
        <v>631</v>
      </c>
      <c r="B675" s="165" t="str">
        <f>IF($A675&gt;MIN($A$10,$A$2),"",INDEX(DemoHistory[Date],$A675))</f>
        <v/>
      </c>
      <c r="C675" s="166" t="str">
        <f>IF(OR($A675&gt;MIN($A$10,$A$2),$A$5=""),"",INDEX(DemoHistory[],$A675,MATCH($A$5,DemoHistory[#Headers],0)))</f>
        <v/>
      </c>
      <c r="D675" s="166" t="str">
        <f>IF($A675&gt;MIN($A$10,$A$2),"",IF(AND($A$12,$A$6=1,B675&lt;$A$7,$A$7&lt;=MAX(DemoHistory[Date])),$A$8,1))</f>
        <v/>
      </c>
      <c r="E675" s="166" t="str">
        <f t="shared" si="27"/>
        <v/>
      </c>
      <c r="F675" s="166" t="str">
        <f>IF($A675&gt;MIN($A$10,$A$2),"",IF($A675&lt;50,"n.a.",IF(COUNT(INDEX(StockDaily[Adjusted close],MAX(1,$A675-50+1)):E675)=50,AVERAGE(INDEX(StockDaily[Adjusted close],MAX(1,$A675-50+1)):E675),"n.a.")))</f>
        <v/>
      </c>
      <c r="G675" s="166" t="str">
        <f>IF($A675&gt;MIN($A$10,$A$2),"",IF($A675&lt;200,"n.a.",IF(COUNT(INDEX(StockDaily[Adjusted close],MAX(1,$A675-200+1)):E675)=200,AVERAGE(INDEX(StockDaily[Adjusted close],MAX(1,$A675-200+1)):E675),"n.a.")))</f>
        <v/>
      </c>
      <c r="H675" s="136" t="str">
        <f>IF($A675&gt;MIN($A$10,$A$2),"",IF($A$5="","Choose stock",IF(NOT($A$12),"Check split rule",IF(NOT(ISNUMBER(B675)),"Invalid date",IF(OR(B675&lt;=0,B675&lt;&gt;INT(B675)),"Invalid date",IF(COUNTIFS(DemoHistory[Date],B675)&lt;&gt;1,"Duplicate date",IF(AND($A675&gt;1,B675&lt;=B674),"Dates out of order",IF(NOT(ISNUMBER(C675)),"Missing price",IF(C675&lt;=0,"Nonpositive price","OK")))))))))</f>
        <v/>
      </c>
      <c r="I675" s="136"/>
      <c r="J675" s="136"/>
      <c r="K675" s="136"/>
      <c r="L675" s="136"/>
      <c r="M675" s="136"/>
      <c r="N675" s="136" t="e">
        <f t="shared" si="28"/>
        <v>#N/A</v>
      </c>
      <c r="O675" s="136" t="e">
        <f t="shared" si="29"/>
        <v>#N/A</v>
      </c>
    </row>
    <row r="676" spans="1:15" ht="22.05" customHeight="1" x14ac:dyDescent="0.3">
      <c r="A676" s="136">
        <v>632</v>
      </c>
      <c r="B676" s="165" t="str">
        <f>IF($A676&gt;MIN($A$10,$A$2),"",INDEX(DemoHistory[Date],$A676))</f>
        <v/>
      </c>
      <c r="C676" s="166" t="str">
        <f>IF(OR($A676&gt;MIN($A$10,$A$2),$A$5=""),"",INDEX(DemoHistory[],$A676,MATCH($A$5,DemoHistory[#Headers],0)))</f>
        <v/>
      </c>
      <c r="D676" s="166" t="str">
        <f>IF($A676&gt;MIN($A$10,$A$2),"",IF(AND($A$12,$A$6=1,B676&lt;$A$7,$A$7&lt;=MAX(DemoHistory[Date])),$A$8,1))</f>
        <v/>
      </c>
      <c r="E676" s="166" t="str">
        <f t="shared" si="27"/>
        <v/>
      </c>
      <c r="F676" s="166" t="str">
        <f>IF($A676&gt;MIN($A$10,$A$2),"",IF($A676&lt;50,"n.a.",IF(COUNT(INDEX(StockDaily[Adjusted close],MAX(1,$A676-50+1)):E676)=50,AVERAGE(INDEX(StockDaily[Adjusted close],MAX(1,$A676-50+1)):E676),"n.a.")))</f>
        <v/>
      </c>
      <c r="G676" s="166" t="str">
        <f>IF($A676&gt;MIN($A$10,$A$2),"",IF($A676&lt;200,"n.a.",IF(COUNT(INDEX(StockDaily[Adjusted close],MAX(1,$A676-200+1)):E676)=200,AVERAGE(INDEX(StockDaily[Adjusted close],MAX(1,$A676-200+1)):E676),"n.a.")))</f>
        <v/>
      </c>
      <c r="H676" s="136" t="str">
        <f>IF($A676&gt;MIN($A$10,$A$2),"",IF($A$5="","Choose stock",IF(NOT($A$12),"Check split rule",IF(NOT(ISNUMBER(B676)),"Invalid date",IF(OR(B676&lt;=0,B676&lt;&gt;INT(B676)),"Invalid date",IF(COUNTIFS(DemoHistory[Date],B676)&lt;&gt;1,"Duplicate date",IF(AND($A676&gt;1,B676&lt;=B675),"Dates out of order",IF(NOT(ISNUMBER(C676)),"Missing price",IF(C676&lt;=0,"Nonpositive price","OK")))))))))</f>
        <v/>
      </c>
      <c r="I676" s="136"/>
      <c r="J676" s="136"/>
      <c r="K676" s="136"/>
      <c r="L676" s="136"/>
      <c r="M676" s="136"/>
      <c r="N676" s="136" t="e">
        <f t="shared" si="28"/>
        <v>#N/A</v>
      </c>
      <c r="O676" s="136" t="e">
        <f t="shared" si="29"/>
        <v>#N/A</v>
      </c>
    </row>
    <row r="677" spans="1:15" ht="22.05" customHeight="1" x14ac:dyDescent="0.3">
      <c r="A677" s="136">
        <v>633</v>
      </c>
      <c r="B677" s="165" t="str">
        <f>IF($A677&gt;MIN($A$10,$A$2),"",INDEX(DemoHistory[Date],$A677))</f>
        <v/>
      </c>
      <c r="C677" s="166" t="str">
        <f>IF(OR($A677&gt;MIN($A$10,$A$2),$A$5=""),"",INDEX(DemoHistory[],$A677,MATCH($A$5,DemoHistory[#Headers],0)))</f>
        <v/>
      </c>
      <c r="D677" s="166" t="str">
        <f>IF($A677&gt;MIN($A$10,$A$2),"",IF(AND($A$12,$A$6=1,B677&lt;$A$7,$A$7&lt;=MAX(DemoHistory[Date])),$A$8,1))</f>
        <v/>
      </c>
      <c r="E677" s="166" t="str">
        <f t="shared" si="27"/>
        <v/>
      </c>
      <c r="F677" s="166" t="str">
        <f>IF($A677&gt;MIN($A$10,$A$2),"",IF($A677&lt;50,"n.a.",IF(COUNT(INDEX(StockDaily[Adjusted close],MAX(1,$A677-50+1)):E677)=50,AVERAGE(INDEX(StockDaily[Adjusted close],MAX(1,$A677-50+1)):E677),"n.a.")))</f>
        <v/>
      </c>
      <c r="G677" s="166" t="str">
        <f>IF($A677&gt;MIN($A$10,$A$2),"",IF($A677&lt;200,"n.a.",IF(COUNT(INDEX(StockDaily[Adjusted close],MAX(1,$A677-200+1)):E677)=200,AVERAGE(INDEX(StockDaily[Adjusted close],MAX(1,$A677-200+1)):E677),"n.a.")))</f>
        <v/>
      </c>
      <c r="H677" s="136" t="str">
        <f>IF($A677&gt;MIN($A$10,$A$2),"",IF($A$5="","Choose stock",IF(NOT($A$12),"Check split rule",IF(NOT(ISNUMBER(B677)),"Invalid date",IF(OR(B677&lt;=0,B677&lt;&gt;INT(B677)),"Invalid date",IF(COUNTIFS(DemoHistory[Date],B677)&lt;&gt;1,"Duplicate date",IF(AND($A677&gt;1,B677&lt;=B676),"Dates out of order",IF(NOT(ISNUMBER(C677)),"Missing price",IF(C677&lt;=0,"Nonpositive price","OK")))))))))</f>
        <v/>
      </c>
      <c r="I677" s="136"/>
      <c r="J677" s="136"/>
      <c r="K677" s="136"/>
      <c r="L677" s="136"/>
      <c r="M677" s="136"/>
      <c r="N677" s="136" t="e">
        <f t="shared" si="28"/>
        <v>#N/A</v>
      </c>
      <c r="O677" s="136" t="e">
        <f t="shared" si="29"/>
        <v>#N/A</v>
      </c>
    </row>
    <row r="678" spans="1:15" ht="22.05" customHeight="1" x14ac:dyDescent="0.3">
      <c r="A678" s="136">
        <v>634</v>
      </c>
      <c r="B678" s="165" t="str">
        <f>IF($A678&gt;MIN($A$10,$A$2),"",INDEX(DemoHistory[Date],$A678))</f>
        <v/>
      </c>
      <c r="C678" s="166" t="str">
        <f>IF(OR($A678&gt;MIN($A$10,$A$2),$A$5=""),"",INDEX(DemoHistory[],$A678,MATCH($A$5,DemoHistory[#Headers],0)))</f>
        <v/>
      </c>
      <c r="D678" s="166" t="str">
        <f>IF($A678&gt;MIN($A$10,$A$2),"",IF(AND($A$12,$A$6=1,B678&lt;$A$7,$A$7&lt;=MAX(DemoHistory[Date])),$A$8,1))</f>
        <v/>
      </c>
      <c r="E678" s="166" t="str">
        <f t="shared" si="27"/>
        <v/>
      </c>
      <c r="F678" s="166" t="str">
        <f>IF($A678&gt;MIN($A$10,$A$2),"",IF($A678&lt;50,"n.a.",IF(COUNT(INDEX(StockDaily[Adjusted close],MAX(1,$A678-50+1)):E678)=50,AVERAGE(INDEX(StockDaily[Adjusted close],MAX(1,$A678-50+1)):E678),"n.a.")))</f>
        <v/>
      </c>
      <c r="G678" s="166" t="str">
        <f>IF($A678&gt;MIN($A$10,$A$2),"",IF($A678&lt;200,"n.a.",IF(COUNT(INDEX(StockDaily[Adjusted close],MAX(1,$A678-200+1)):E678)=200,AVERAGE(INDEX(StockDaily[Adjusted close],MAX(1,$A678-200+1)):E678),"n.a.")))</f>
        <v/>
      </c>
      <c r="H678" s="136" t="str">
        <f>IF($A678&gt;MIN($A$10,$A$2),"",IF($A$5="","Choose stock",IF(NOT($A$12),"Check split rule",IF(NOT(ISNUMBER(B678)),"Invalid date",IF(OR(B678&lt;=0,B678&lt;&gt;INT(B678)),"Invalid date",IF(COUNTIFS(DemoHistory[Date],B678)&lt;&gt;1,"Duplicate date",IF(AND($A678&gt;1,B678&lt;=B677),"Dates out of order",IF(NOT(ISNUMBER(C678)),"Missing price",IF(C678&lt;=0,"Nonpositive price","OK")))))))))</f>
        <v/>
      </c>
      <c r="I678" s="136"/>
      <c r="J678" s="136"/>
      <c r="K678" s="136"/>
      <c r="L678" s="136"/>
      <c r="M678" s="136"/>
      <c r="N678" s="136" t="e">
        <f t="shared" si="28"/>
        <v>#N/A</v>
      </c>
      <c r="O678" s="136" t="e">
        <f t="shared" si="29"/>
        <v>#N/A</v>
      </c>
    </row>
    <row r="679" spans="1:15" ht="22.05" customHeight="1" x14ac:dyDescent="0.3">
      <c r="A679" s="136">
        <v>635</v>
      </c>
      <c r="B679" s="165" t="str">
        <f>IF($A679&gt;MIN($A$10,$A$2),"",INDEX(DemoHistory[Date],$A679))</f>
        <v/>
      </c>
      <c r="C679" s="166" t="str">
        <f>IF(OR($A679&gt;MIN($A$10,$A$2),$A$5=""),"",INDEX(DemoHistory[],$A679,MATCH($A$5,DemoHistory[#Headers],0)))</f>
        <v/>
      </c>
      <c r="D679" s="166" t="str">
        <f>IF($A679&gt;MIN($A$10,$A$2),"",IF(AND($A$12,$A$6=1,B679&lt;$A$7,$A$7&lt;=MAX(DemoHistory[Date])),$A$8,1))</f>
        <v/>
      </c>
      <c r="E679" s="166" t="str">
        <f t="shared" si="27"/>
        <v/>
      </c>
      <c r="F679" s="166" t="str">
        <f>IF($A679&gt;MIN($A$10,$A$2),"",IF($A679&lt;50,"n.a.",IF(COUNT(INDEX(StockDaily[Adjusted close],MAX(1,$A679-50+1)):E679)=50,AVERAGE(INDEX(StockDaily[Adjusted close],MAX(1,$A679-50+1)):E679),"n.a.")))</f>
        <v/>
      </c>
      <c r="G679" s="166" t="str">
        <f>IF($A679&gt;MIN($A$10,$A$2),"",IF($A679&lt;200,"n.a.",IF(COUNT(INDEX(StockDaily[Adjusted close],MAX(1,$A679-200+1)):E679)=200,AVERAGE(INDEX(StockDaily[Adjusted close],MAX(1,$A679-200+1)):E679),"n.a.")))</f>
        <v/>
      </c>
      <c r="H679" s="136" t="str">
        <f>IF($A679&gt;MIN($A$10,$A$2),"",IF($A$5="","Choose stock",IF(NOT($A$12),"Check split rule",IF(NOT(ISNUMBER(B679)),"Invalid date",IF(OR(B679&lt;=0,B679&lt;&gt;INT(B679)),"Invalid date",IF(COUNTIFS(DemoHistory[Date],B679)&lt;&gt;1,"Duplicate date",IF(AND($A679&gt;1,B679&lt;=B678),"Dates out of order",IF(NOT(ISNUMBER(C679)),"Missing price",IF(C679&lt;=0,"Nonpositive price","OK")))))))))</f>
        <v/>
      </c>
      <c r="I679" s="136"/>
      <c r="J679" s="136"/>
      <c r="K679" s="136"/>
      <c r="L679" s="136"/>
      <c r="M679" s="136"/>
      <c r="N679" s="136" t="e">
        <f t="shared" si="28"/>
        <v>#N/A</v>
      </c>
      <c r="O679" s="136" t="e">
        <f t="shared" si="29"/>
        <v>#N/A</v>
      </c>
    </row>
    <row r="680" spans="1:15" ht="22.05" customHeight="1" x14ac:dyDescent="0.3">
      <c r="A680" s="136">
        <v>636</v>
      </c>
      <c r="B680" s="165" t="str">
        <f>IF($A680&gt;MIN($A$10,$A$2),"",INDEX(DemoHistory[Date],$A680))</f>
        <v/>
      </c>
      <c r="C680" s="166" t="str">
        <f>IF(OR($A680&gt;MIN($A$10,$A$2),$A$5=""),"",INDEX(DemoHistory[],$A680,MATCH($A$5,DemoHistory[#Headers],0)))</f>
        <v/>
      </c>
      <c r="D680" s="166" t="str">
        <f>IF($A680&gt;MIN($A$10,$A$2),"",IF(AND($A$12,$A$6=1,B680&lt;$A$7,$A$7&lt;=MAX(DemoHistory[Date])),$A$8,1))</f>
        <v/>
      </c>
      <c r="E680" s="166" t="str">
        <f t="shared" si="27"/>
        <v/>
      </c>
      <c r="F680" s="166" t="str">
        <f>IF($A680&gt;MIN($A$10,$A$2),"",IF($A680&lt;50,"n.a.",IF(COUNT(INDEX(StockDaily[Adjusted close],MAX(1,$A680-50+1)):E680)=50,AVERAGE(INDEX(StockDaily[Adjusted close],MAX(1,$A680-50+1)):E680),"n.a.")))</f>
        <v/>
      </c>
      <c r="G680" s="166" t="str">
        <f>IF($A680&gt;MIN($A$10,$A$2),"",IF($A680&lt;200,"n.a.",IF(COUNT(INDEX(StockDaily[Adjusted close],MAX(1,$A680-200+1)):E680)=200,AVERAGE(INDEX(StockDaily[Adjusted close],MAX(1,$A680-200+1)):E680),"n.a.")))</f>
        <v/>
      </c>
      <c r="H680" s="136" t="str">
        <f>IF($A680&gt;MIN($A$10,$A$2),"",IF($A$5="","Choose stock",IF(NOT($A$12),"Check split rule",IF(NOT(ISNUMBER(B680)),"Invalid date",IF(OR(B680&lt;=0,B680&lt;&gt;INT(B680)),"Invalid date",IF(COUNTIFS(DemoHistory[Date],B680)&lt;&gt;1,"Duplicate date",IF(AND($A680&gt;1,B680&lt;=B679),"Dates out of order",IF(NOT(ISNUMBER(C680)),"Missing price",IF(C680&lt;=0,"Nonpositive price","OK")))))))))</f>
        <v/>
      </c>
      <c r="I680" s="136"/>
      <c r="J680" s="136"/>
      <c r="K680" s="136"/>
      <c r="L680" s="136"/>
      <c r="M680" s="136"/>
      <c r="N680" s="136" t="e">
        <f t="shared" si="28"/>
        <v>#N/A</v>
      </c>
      <c r="O680" s="136" t="e">
        <f t="shared" si="29"/>
        <v>#N/A</v>
      </c>
    </row>
    <row r="681" spans="1:15" ht="22.05" customHeight="1" x14ac:dyDescent="0.3">
      <c r="A681" s="136">
        <v>637</v>
      </c>
      <c r="B681" s="165" t="str">
        <f>IF($A681&gt;MIN($A$10,$A$2),"",INDEX(DemoHistory[Date],$A681))</f>
        <v/>
      </c>
      <c r="C681" s="166" t="str">
        <f>IF(OR($A681&gt;MIN($A$10,$A$2),$A$5=""),"",INDEX(DemoHistory[],$A681,MATCH($A$5,DemoHistory[#Headers],0)))</f>
        <v/>
      </c>
      <c r="D681" s="166" t="str">
        <f>IF($A681&gt;MIN($A$10,$A$2),"",IF(AND($A$12,$A$6=1,B681&lt;$A$7,$A$7&lt;=MAX(DemoHistory[Date])),$A$8,1))</f>
        <v/>
      </c>
      <c r="E681" s="166" t="str">
        <f t="shared" si="27"/>
        <v/>
      </c>
      <c r="F681" s="166" t="str">
        <f>IF($A681&gt;MIN($A$10,$A$2),"",IF($A681&lt;50,"n.a.",IF(COUNT(INDEX(StockDaily[Adjusted close],MAX(1,$A681-50+1)):E681)=50,AVERAGE(INDEX(StockDaily[Adjusted close],MAX(1,$A681-50+1)):E681),"n.a.")))</f>
        <v/>
      </c>
      <c r="G681" s="166" t="str">
        <f>IF($A681&gt;MIN($A$10,$A$2),"",IF($A681&lt;200,"n.a.",IF(COUNT(INDEX(StockDaily[Adjusted close],MAX(1,$A681-200+1)):E681)=200,AVERAGE(INDEX(StockDaily[Adjusted close],MAX(1,$A681-200+1)):E681),"n.a.")))</f>
        <v/>
      </c>
      <c r="H681" s="136" t="str">
        <f>IF($A681&gt;MIN($A$10,$A$2),"",IF($A$5="","Choose stock",IF(NOT($A$12),"Check split rule",IF(NOT(ISNUMBER(B681)),"Invalid date",IF(OR(B681&lt;=0,B681&lt;&gt;INT(B681)),"Invalid date",IF(COUNTIFS(DemoHistory[Date],B681)&lt;&gt;1,"Duplicate date",IF(AND($A681&gt;1,B681&lt;=B680),"Dates out of order",IF(NOT(ISNUMBER(C681)),"Missing price",IF(C681&lt;=0,"Nonpositive price","OK")))))))))</f>
        <v/>
      </c>
      <c r="I681" s="136"/>
      <c r="J681" s="136"/>
      <c r="K681" s="136"/>
      <c r="L681" s="136"/>
      <c r="M681" s="136"/>
      <c r="N681" s="136" t="e">
        <f t="shared" si="28"/>
        <v>#N/A</v>
      </c>
      <c r="O681" s="136" t="e">
        <f t="shared" si="29"/>
        <v>#N/A</v>
      </c>
    </row>
    <row r="682" spans="1:15" ht="22.05" customHeight="1" x14ac:dyDescent="0.3">
      <c r="A682" s="136">
        <v>638</v>
      </c>
      <c r="B682" s="165" t="str">
        <f>IF($A682&gt;MIN($A$10,$A$2),"",INDEX(DemoHistory[Date],$A682))</f>
        <v/>
      </c>
      <c r="C682" s="166" t="str">
        <f>IF(OR($A682&gt;MIN($A$10,$A$2),$A$5=""),"",INDEX(DemoHistory[],$A682,MATCH($A$5,DemoHistory[#Headers],0)))</f>
        <v/>
      </c>
      <c r="D682" s="166" t="str">
        <f>IF($A682&gt;MIN($A$10,$A$2),"",IF(AND($A$12,$A$6=1,B682&lt;$A$7,$A$7&lt;=MAX(DemoHistory[Date])),$A$8,1))</f>
        <v/>
      </c>
      <c r="E682" s="166" t="str">
        <f t="shared" si="27"/>
        <v/>
      </c>
      <c r="F682" s="166" t="str">
        <f>IF($A682&gt;MIN($A$10,$A$2),"",IF($A682&lt;50,"n.a.",IF(COUNT(INDEX(StockDaily[Adjusted close],MAX(1,$A682-50+1)):E682)=50,AVERAGE(INDEX(StockDaily[Adjusted close],MAX(1,$A682-50+1)):E682),"n.a.")))</f>
        <v/>
      </c>
      <c r="G682" s="166" t="str">
        <f>IF($A682&gt;MIN($A$10,$A$2),"",IF($A682&lt;200,"n.a.",IF(COUNT(INDEX(StockDaily[Adjusted close],MAX(1,$A682-200+1)):E682)=200,AVERAGE(INDEX(StockDaily[Adjusted close],MAX(1,$A682-200+1)):E682),"n.a.")))</f>
        <v/>
      </c>
      <c r="H682" s="136" t="str">
        <f>IF($A682&gt;MIN($A$10,$A$2),"",IF($A$5="","Choose stock",IF(NOT($A$12),"Check split rule",IF(NOT(ISNUMBER(B682)),"Invalid date",IF(OR(B682&lt;=0,B682&lt;&gt;INT(B682)),"Invalid date",IF(COUNTIFS(DemoHistory[Date],B682)&lt;&gt;1,"Duplicate date",IF(AND($A682&gt;1,B682&lt;=B681),"Dates out of order",IF(NOT(ISNUMBER(C682)),"Missing price",IF(C682&lt;=0,"Nonpositive price","OK")))))))))</f>
        <v/>
      </c>
      <c r="I682" s="136"/>
      <c r="J682" s="136"/>
      <c r="K682" s="136"/>
      <c r="L682" s="136"/>
      <c r="M682" s="136"/>
      <c r="N682" s="136" t="e">
        <f t="shared" si="28"/>
        <v>#N/A</v>
      </c>
      <c r="O682" s="136" t="e">
        <f t="shared" si="29"/>
        <v>#N/A</v>
      </c>
    </row>
    <row r="683" spans="1:15" ht="22.05" customHeight="1" x14ac:dyDescent="0.3">
      <c r="A683" s="136">
        <v>639</v>
      </c>
      <c r="B683" s="165" t="str">
        <f>IF($A683&gt;MIN($A$10,$A$2),"",INDEX(DemoHistory[Date],$A683))</f>
        <v/>
      </c>
      <c r="C683" s="166" t="str">
        <f>IF(OR($A683&gt;MIN($A$10,$A$2),$A$5=""),"",INDEX(DemoHistory[],$A683,MATCH($A$5,DemoHistory[#Headers],0)))</f>
        <v/>
      </c>
      <c r="D683" s="166" t="str">
        <f>IF($A683&gt;MIN($A$10,$A$2),"",IF(AND($A$12,$A$6=1,B683&lt;$A$7,$A$7&lt;=MAX(DemoHistory[Date])),$A$8,1))</f>
        <v/>
      </c>
      <c r="E683" s="166" t="str">
        <f t="shared" si="27"/>
        <v/>
      </c>
      <c r="F683" s="166" t="str">
        <f>IF($A683&gt;MIN($A$10,$A$2),"",IF($A683&lt;50,"n.a.",IF(COUNT(INDEX(StockDaily[Adjusted close],MAX(1,$A683-50+1)):E683)=50,AVERAGE(INDEX(StockDaily[Adjusted close],MAX(1,$A683-50+1)):E683),"n.a.")))</f>
        <v/>
      </c>
      <c r="G683" s="166" t="str">
        <f>IF($A683&gt;MIN($A$10,$A$2),"",IF($A683&lt;200,"n.a.",IF(COUNT(INDEX(StockDaily[Adjusted close],MAX(1,$A683-200+1)):E683)=200,AVERAGE(INDEX(StockDaily[Adjusted close],MAX(1,$A683-200+1)):E683),"n.a.")))</f>
        <v/>
      </c>
      <c r="H683" s="136" t="str">
        <f>IF($A683&gt;MIN($A$10,$A$2),"",IF($A$5="","Choose stock",IF(NOT($A$12),"Check split rule",IF(NOT(ISNUMBER(B683)),"Invalid date",IF(OR(B683&lt;=0,B683&lt;&gt;INT(B683)),"Invalid date",IF(COUNTIFS(DemoHistory[Date],B683)&lt;&gt;1,"Duplicate date",IF(AND($A683&gt;1,B683&lt;=B682),"Dates out of order",IF(NOT(ISNUMBER(C683)),"Missing price",IF(C683&lt;=0,"Nonpositive price","OK")))))))))</f>
        <v/>
      </c>
      <c r="I683" s="136"/>
      <c r="J683" s="136"/>
      <c r="K683" s="136"/>
      <c r="L683" s="136"/>
      <c r="M683" s="136"/>
      <c r="N683" s="136" t="e">
        <f t="shared" si="28"/>
        <v>#N/A</v>
      </c>
      <c r="O683" s="136" t="e">
        <f t="shared" si="29"/>
        <v>#N/A</v>
      </c>
    </row>
    <row r="684" spans="1:15" ht="22.05" customHeight="1" x14ac:dyDescent="0.3">
      <c r="A684" s="136">
        <v>640</v>
      </c>
      <c r="B684" s="165" t="str">
        <f>IF($A684&gt;MIN($A$10,$A$2),"",INDEX(DemoHistory[Date],$A684))</f>
        <v/>
      </c>
      <c r="C684" s="166" t="str">
        <f>IF(OR($A684&gt;MIN($A$10,$A$2),$A$5=""),"",INDEX(DemoHistory[],$A684,MATCH($A$5,DemoHistory[#Headers],0)))</f>
        <v/>
      </c>
      <c r="D684" s="166" t="str">
        <f>IF($A684&gt;MIN($A$10,$A$2),"",IF(AND($A$12,$A$6=1,B684&lt;$A$7,$A$7&lt;=MAX(DemoHistory[Date])),$A$8,1))</f>
        <v/>
      </c>
      <c r="E684" s="166" t="str">
        <f t="shared" si="27"/>
        <v/>
      </c>
      <c r="F684" s="166" t="str">
        <f>IF($A684&gt;MIN($A$10,$A$2),"",IF($A684&lt;50,"n.a.",IF(COUNT(INDEX(StockDaily[Adjusted close],MAX(1,$A684-50+1)):E684)=50,AVERAGE(INDEX(StockDaily[Adjusted close],MAX(1,$A684-50+1)):E684),"n.a.")))</f>
        <v/>
      </c>
      <c r="G684" s="166" t="str">
        <f>IF($A684&gt;MIN($A$10,$A$2),"",IF($A684&lt;200,"n.a.",IF(COUNT(INDEX(StockDaily[Adjusted close],MAX(1,$A684-200+1)):E684)=200,AVERAGE(INDEX(StockDaily[Adjusted close],MAX(1,$A684-200+1)):E684),"n.a.")))</f>
        <v/>
      </c>
      <c r="H684" s="136" t="str">
        <f>IF($A684&gt;MIN($A$10,$A$2),"",IF($A$5="","Choose stock",IF(NOT($A$12),"Check split rule",IF(NOT(ISNUMBER(B684)),"Invalid date",IF(OR(B684&lt;=0,B684&lt;&gt;INT(B684)),"Invalid date",IF(COUNTIFS(DemoHistory[Date],B684)&lt;&gt;1,"Duplicate date",IF(AND($A684&gt;1,B684&lt;=B683),"Dates out of order",IF(NOT(ISNUMBER(C684)),"Missing price",IF(C684&lt;=0,"Nonpositive price","OK")))))))))</f>
        <v/>
      </c>
      <c r="I684" s="136"/>
      <c r="J684" s="136"/>
      <c r="K684" s="136"/>
      <c r="L684" s="136"/>
      <c r="M684" s="136"/>
      <c r="N684" s="136" t="e">
        <f t="shared" si="28"/>
        <v>#N/A</v>
      </c>
      <c r="O684" s="136" t="e">
        <f t="shared" si="29"/>
        <v>#N/A</v>
      </c>
    </row>
    <row r="685" spans="1:15" ht="22.05" customHeight="1" x14ac:dyDescent="0.3">
      <c r="A685" s="136">
        <v>641</v>
      </c>
      <c r="B685" s="165" t="str">
        <f>IF($A685&gt;MIN($A$10,$A$2),"",INDEX(DemoHistory[Date],$A685))</f>
        <v/>
      </c>
      <c r="C685" s="166" t="str">
        <f>IF(OR($A685&gt;MIN($A$10,$A$2),$A$5=""),"",INDEX(DemoHistory[],$A685,MATCH($A$5,DemoHistory[#Headers],0)))</f>
        <v/>
      </c>
      <c r="D685" s="166" t="str">
        <f>IF($A685&gt;MIN($A$10,$A$2),"",IF(AND($A$12,$A$6=1,B685&lt;$A$7,$A$7&lt;=MAX(DemoHistory[Date])),$A$8,1))</f>
        <v/>
      </c>
      <c r="E685" s="166" t="str">
        <f t="shared" ref="E685:E748" si="30">IF($A685&gt;MIN($A$10,$A$2),"",IF(H685="OK",C685/D685,"n.a."))</f>
        <v/>
      </c>
      <c r="F685" s="166" t="str">
        <f>IF($A685&gt;MIN($A$10,$A$2),"",IF($A685&lt;50,"n.a.",IF(COUNT(INDEX(StockDaily[Adjusted close],MAX(1,$A685-50+1)):E685)=50,AVERAGE(INDEX(StockDaily[Adjusted close],MAX(1,$A685-50+1)):E685),"n.a.")))</f>
        <v/>
      </c>
      <c r="G685" s="166" t="str">
        <f>IF($A685&gt;MIN($A$10,$A$2),"",IF($A685&lt;200,"n.a.",IF(COUNT(INDEX(StockDaily[Adjusted close],MAX(1,$A685-200+1)):E685)=200,AVERAGE(INDEX(StockDaily[Adjusted close],MAX(1,$A685-200+1)):E685),"n.a.")))</f>
        <v/>
      </c>
      <c r="H685" s="136" t="str">
        <f>IF($A685&gt;MIN($A$10,$A$2),"",IF($A$5="","Choose stock",IF(NOT($A$12),"Check split rule",IF(NOT(ISNUMBER(B685)),"Invalid date",IF(OR(B685&lt;=0,B685&lt;&gt;INT(B685)),"Invalid date",IF(COUNTIFS(DemoHistory[Date],B685)&lt;&gt;1,"Duplicate date",IF(AND($A685&gt;1,B685&lt;=B684),"Dates out of order",IF(NOT(ISNUMBER(C685)),"Missing price",IF(C685&lt;=0,"Nonpositive price","OK")))))))))</f>
        <v/>
      </c>
      <c r="I685" s="136"/>
      <c r="J685" s="136"/>
      <c r="K685" s="136"/>
      <c r="L685" s="136"/>
      <c r="M685" s="136"/>
      <c r="N685" s="136" t="e">
        <f t="shared" ref="N685:N748" si="31">IF(AND($A$13="Ready",ISNUMBER(E685)),E685,NA())</f>
        <v>#N/A</v>
      </c>
      <c r="O685" s="136" t="e">
        <f t="shared" ref="O685:O748" si="32">IF(AND($A$13="Ready",ISNUMBER(F685)),F685,NA())</f>
        <v>#N/A</v>
      </c>
    </row>
    <row r="686" spans="1:15" ht="22.05" customHeight="1" x14ac:dyDescent="0.3">
      <c r="A686" s="136">
        <v>642</v>
      </c>
      <c r="B686" s="165" t="str">
        <f>IF($A686&gt;MIN($A$10,$A$2),"",INDEX(DemoHistory[Date],$A686))</f>
        <v/>
      </c>
      <c r="C686" s="166" t="str">
        <f>IF(OR($A686&gt;MIN($A$10,$A$2),$A$5=""),"",INDEX(DemoHistory[],$A686,MATCH($A$5,DemoHistory[#Headers],0)))</f>
        <v/>
      </c>
      <c r="D686" s="166" t="str">
        <f>IF($A686&gt;MIN($A$10,$A$2),"",IF(AND($A$12,$A$6=1,B686&lt;$A$7,$A$7&lt;=MAX(DemoHistory[Date])),$A$8,1))</f>
        <v/>
      </c>
      <c r="E686" s="166" t="str">
        <f t="shared" si="30"/>
        <v/>
      </c>
      <c r="F686" s="166" t="str">
        <f>IF($A686&gt;MIN($A$10,$A$2),"",IF($A686&lt;50,"n.a.",IF(COUNT(INDEX(StockDaily[Adjusted close],MAX(1,$A686-50+1)):E686)=50,AVERAGE(INDEX(StockDaily[Adjusted close],MAX(1,$A686-50+1)):E686),"n.a.")))</f>
        <v/>
      </c>
      <c r="G686" s="166" t="str">
        <f>IF($A686&gt;MIN($A$10,$A$2),"",IF($A686&lt;200,"n.a.",IF(COUNT(INDEX(StockDaily[Adjusted close],MAX(1,$A686-200+1)):E686)=200,AVERAGE(INDEX(StockDaily[Adjusted close],MAX(1,$A686-200+1)):E686),"n.a.")))</f>
        <v/>
      </c>
      <c r="H686" s="136" t="str">
        <f>IF($A686&gt;MIN($A$10,$A$2),"",IF($A$5="","Choose stock",IF(NOT($A$12),"Check split rule",IF(NOT(ISNUMBER(B686)),"Invalid date",IF(OR(B686&lt;=0,B686&lt;&gt;INT(B686)),"Invalid date",IF(COUNTIFS(DemoHistory[Date],B686)&lt;&gt;1,"Duplicate date",IF(AND($A686&gt;1,B686&lt;=B685),"Dates out of order",IF(NOT(ISNUMBER(C686)),"Missing price",IF(C686&lt;=0,"Nonpositive price","OK")))))))))</f>
        <v/>
      </c>
      <c r="I686" s="136"/>
      <c r="J686" s="136"/>
      <c r="K686" s="136"/>
      <c r="L686" s="136"/>
      <c r="M686" s="136"/>
      <c r="N686" s="136" t="e">
        <f t="shared" si="31"/>
        <v>#N/A</v>
      </c>
      <c r="O686" s="136" t="e">
        <f t="shared" si="32"/>
        <v>#N/A</v>
      </c>
    </row>
    <row r="687" spans="1:15" ht="22.05" customHeight="1" x14ac:dyDescent="0.3">
      <c r="A687" s="136">
        <v>643</v>
      </c>
      <c r="B687" s="165" t="str">
        <f>IF($A687&gt;MIN($A$10,$A$2),"",INDEX(DemoHistory[Date],$A687))</f>
        <v/>
      </c>
      <c r="C687" s="166" t="str">
        <f>IF(OR($A687&gt;MIN($A$10,$A$2),$A$5=""),"",INDEX(DemoHistory[],$A687,MATCH($A$5,DemoHistory[#Headers],0)))</f>
        <v/>
      </c>
      <c r="D687" s="166" t="str">
        <f>IF($A687&gt;MIN($A$10,$A$2),"",IF(AND($A$12,$A$6=1,B687&lt;$A$7,$A$7&lt;=MAX(DemoHistory[Date])),$A$8,1))</f>
        <v/>
      </c>
      <c r="E687" s="166" t="str">
        <f t="shared" si="30"/>
        <v/>
      </c>
      <c r="F687" s="166" t="str">
        <f>IF($A687&gt;MIN($A$10,$A$2),"",IF($A687&lt;50,"n.a.",IF(COUNT(INDEX(StockDaily[Adjusted close],MAX(1,$A687-50+1)):E687)=50,AVERAGE(INDEX(StockDaily[Adjusted close],MAX(1,$A687-50+1)):E687),"n.a.")))</f>
        <v/>
      </c>
      <c r="G687" s="166" t="str">
        <f>IF($A687&gt;MIN($A$10,$A$2),"",IF($A687&lt;200,"n.a.",IF(COUNT(INDEX(StockDaily[Adjusted close],MAX(1,$A687-200+1)):E687)=200,AVERAGE(INDEX(StockDaily[Adjusted close],MAX(1,$A687-200+1)):E687),"n.a.")))</f>
        <v/>
      </c>
      <c r="H687" s="136" t="str">
        <f>IF($A687&gt;MIN($A$10,$A$2),"",IF($A$5="","Choose stock",IF(NOT($A$12),"Check split rule",IF(NOT(ISNUMBER(B687)),"Invalid date",IF(OR(B687&lt;=0,B687&lt;&gt;INT(B687)),"Invalid date",IF(COUNTIFS(DemoHistory[Date],B687)&lt;&gt;1,"Duplicate date",IF(AND($A687&gt;1,B687&lt;=B686),"Dates out of order",IF(NOT(ISNUMBER(C687)),"Missing price",IF(C687&lt;=0,"Nonpositive price","OK")))))))))</f>
        <v/>
      </c>
      <c r="I687" s="136"/>
      <c r="J687" s="136"/>
      <c r="K687" s="136"/>
      <c r="L687" s="136"/>
      <c r="M687" s="136"/>
      <c r="N687" s="136" t="e">
        <f t="shared" si="31"/>
        <v>#N/A</v>
      </c>
      <c r="O687" s="136" t="e">
        <f t="shared" si="32"/>
        <v>#N/A</v>
      </c>
    </row>
    <row r="688" spans="1:15" ht="22.05" customHeight="1" x14ac:dyDescent="0.3">
      <c r="A688" s="136">
        <v>644</v>
      </c>
      <c r="B688" s="165" t="str">
        <f>IF($A688&gt;MIN($A$10,$A$2),"",INDEX(DemoHistory[Date],$A688))</f>
        <v/>
      </c>
      <c r="C688" s="166" t="str">
        <f>IF(OR($A688&gt;MIN($A$10,$A$2),$A$5=""),"",INDEX(DemoHistory[],$A688,MATCH($A$5,DemoHistory[#Headers],0)))</f>
        <v/>
      </c>
      <c r="D688" s="166" t="str">
        <f>IF($A688&gt;MIN($A$10,$A$2),"",IF(AND($A$12,$A$6=1,B688&lt;$A$7,$A$7&lt;=MAX(DemoHistory[Date])),$A$8,1))</f>
        <v/>
      </c>
      <c r="E688" s="166" t="str">
        <f t="shared" si="30"/>
        <v/>
      </c>
      <c r="F688" s="166" t="str">
        <f>IF($A688&gt;MIN($A$10,$A$2),"",IF($A688&lt;50,"n.a.",IF(COUNT(INDEX(StockDaily[Adjusted close],MAX(1,$A688-50+1)):E688)=50,AVERAGE(INDEX(StockDaily[Adjusted close],MAX(1,$A688-50+1)):E688),"n.a.")))</f>
        <v/>
      </c>
      <c r="G688" s="166" t="str">
        <f>IF($A688&gt;MIN($A$10,$A$2),"",IF($A688&lt;200,"n.a.",IF(COUNT(INDEX(StockDaily[Adjusted close],MAX(1,$A688-200+1)):E688)=200,AVERAGE(INDEX(StockDaily[Adjusted close],MAX(1,$A688-200+1)):E688),"n.a.")))</f>
        <v/>
      </c>
      <c r="H688" s="136" t="str">
        <f>IF($A688&gt;MIN($A$10,$A$2),"",IF($A$5="","Choose stock",IF(NOT($A$12),"Check split rule",IF(NOT(ISNUMBER(B688)),"Invalid date",IF(OR(B688&lt;=0,B688&lt;&gt;INT(B688)),"Invalid date",IF(COUNTIFS(DemoHistory[Date],B688)&lt;&gt;1,"Duplicate date",IF(AND($A688&gt;1,B688&lt;=B687),"Dates out of order",IF(NOT(ISNUMBER(C688)),"Missing price",IF(C688&lt;=0,"Nonpositive price","OK")))))))))</f>
        <v/>
      </c>
      <c r="I688" s="136"/>
      <c r="J688" s="136"/>
      <c r="K688" s="136"/>
      <c r="L688" s="136"/>
      <c r="M688" s="136"/>
      <c r="N688" s="136" t="e">
        <f t="shared" si="31"/>
        <v>#N/A</v>
      </c>
      <c r="O688" s="136" t="e">
        <f t="shared" si="32"/>
        <v>#N/A</v>
      </c>
    </row>
    <row r="689" spans="1:15" ht="22.05" customHeight="1" x14ac:dyDescent="0.3">
      <c r="A689" s="136">
        <v>645</v>
      </c>
      <c r="B689" s="165" t="str">
        <f>IF($A689&gt;MIN($A$10,$A$2),"",INDEX(DemoHistory[Date],$A689))</f>
        <v/>
      </c>
      <c r="C689" s="166" t="str">
        <f>IF(OR($A689&gt;MIN($A$10,$A$2),$A$5=""),"",INDEX(DemoHistory[],$A689,MATCH($A$5,DemoHistory[#Headers],0)))</f>
        <v/>
      </c>
      <c r="D689" s="166" t="str">
        <f>IF($A689&gt;MIN($A$10,$A$2),"",IF(AND($A$12,$A$6=1,B689&lt;$A$7,$A$7&lt;=MAX(DemoHistory[Date])),$A$8,1))</f>
        <v/>
      </c>
      <c r="E689" s="166" t="str">
        <f t="shared" si="30"/>
        <v/>
      </c>
      <c r="F689" s="166" t="str">
        <f>IF($A689&gt;MIN($A$10,$A$2),"",IF($A689&lt;50,"n.a.",IF(COUNT(INDEX(StockDaily[Adjusted close],MAX(1,$A689-50+1)):E689)=50,AVERAGE(INDEX(StockDaily[Adjusted close],MAX(1,$A689-50+1)):E689),"n.a.")))</f>
        <v/>
      </c>
      <c r="G689" s="166" t="str">
        <f>IF($A689&gt;MIN($A$10,$A$2),"",IF($A689&lt;200,"n.a.",IF(COUNT(INDEX(StockDaily[Adjusted close],MAX(1,$A689-200+1)):E689)=200,AVERAGE(INDEX(StockDaily[Adjusted close],MAX(1,$A689-200+1)):E689),"n.a.")))</f>
        <v/>
      </c>
      <c r="H689" s="136" t="str">
        <f>IF($A689&gt;MIN($A$10,$A$2),"",IF($A$5="","Choose stock",IF(NOT($A$12),"Check split rule",IF(NOT(ISNUMBER(B689)),"Invalid date",IF(OR(B689&lt;=0,B689&lt;&gt;INT(B689)),"Invalid date",IF(COUNTIFS(DemoHistory[Date],B689)&lt;&gt;1,"Duplicate date",IF(AND($A689&gt;1,B689&lt;=B688),"Dates out of order",IF(NOT(ISNUMBER(C689)),"Missing price",IF(C689&lt;=0,"Nonpositive price","OK")))))))))</f>
        <v/>
      </c>
      <c r="I689" s="136"/>
      <c r="J689" s="136"/>
      <c r="K689" s="136"/>
      <c r="L689" s="136"/>
      <c r="M689" s="136"/>
      <c r="N689" s="136" t="e">
        <f t="shared" si="31"/>
        <v>#N/A</v>
      </c>
      <c r="O689" s="136" t="e">
        <f t="shared" si="32"/>
        <v>#N/A</v>
      </c>
    </row>
    <row r="690" spans="1:15" ht="22.05" customHeight="1" x14ac:dyDescent="0.3">
      <c r="A690" s="136">
        <v>646</v>
      </c>
      <c r="B690" s="165" t="str">
        <f>IF($A690&gt;MIN($A$10,$A$2),"",INDEX(DemoHistory[Date],$A690))</f>
        <v/>
      </c>
      <c r="C690" s="166" t="str">
        <f>IF(OR($A690&gt;MIN($A$10,$A$2),$A$5=""),"",INDEX(DemoHistory[],$A690,MATCH($A$5,DemoHistory[#Headers],0)))</f>
        <v/>
      </c>
      <c r="D690" s="166" t="str">
        <f>IF($A690&gt;MIN($A$10,$A$2),"",IF(AND($A$12,$A$6=1,B690&lt;$A$7,$A$7&lt;=MAX(DemoHistory[Date])),$A$8,1))</f>
        <v/>
      </c>
      <c r="E690" s="166" t="str">
        <f t="shared" si="30"/>
        <v/>
      </c>
      <c r="F690" s="166" t="str">
        <f>IF($A690&gt;MIN($A$10,$A$2),"",IF($A690&lt;50,"n.a.",IF(COUNT(INDEX(StockDaily[Adjusted close],MAX(1,$A690-50+1)):E690)=50,AVERAGE(INDEX(StockDaily[Adjusted close],MAX(1,$A690-50+1)):E690),"n.a.")))</f>
        <v/>
      </c>
      <c r="G690" s="166" t="str">
        <f>IF($A690&gt;MIN($A$10,$A$2),"",IF($A690&lt;200,"n.a.",IF(COUNT(INDEX(StockDaily[Adjusted close],MAX(1,$A690-200+1)):E690)=200,AVERAGE(INDEX(StockDaily[Adjusted close],MAX(1,$A690-200+1)):E690),"n.a.")))</f>
        <v/>
      </c>
      <c r="H690" s="136" t="str">
        <f>IF($A690&gt;MIN($A$10,$A$2),"",IF($A$5="","Choose stock",IF(NOT($A$12),"Check split rule",IF(NOT(ISNUMBER(B690)),"Invalid date",IF(OR(B690&lt;=0,B690&lt;&gt;INT(B690)),"Invalid date",IF(COUNTIFS(DemoHistory[Date],B690)&lt;&gt;1,"Duplicate date",IF(AND($A690&gt;1,B690&lt;=B689),"Dates out of order",IF(NOT(ISNUMBER(C690)),"Missing price",IF(C690&lt;=0,"Nonpositive price","OK")))))))))</f>
        <v/>
      </c>
      <c r="I690" s="136"/>
      <c r="J690" s="136"/>
      <c r="K690" s="136"/>
      <c r="L690" s="136"/>
      <c r="M690" s="136"/>
      <c r="N690" s="136" t="e">
        <f t="shared" si="31"/>
        <v>#N/A</v>
      </c>
      <c r="O690" s="136" t="e">
        <f t="shared" si="32"/>
        <v>#N/A</v>
      </c>
    </row>
    <row r="691" spans="1:15" ht="22.05" customHeight="1" x14ac:dyDescent="0.3">
      <c r="A691" s="136">
        <v>647</v>
      </c>
      <c r="B691" s="165" t="str">
        <f>IF($A691&gt;MIN($A$10,$A$2),"",INDEX(DemoHistory[Date],$A691))</f>
        <v/>
      </c>
      <c r="C691" s="166" t="str">
        <f>IF(OR($A691&gt;MIN($A$10,$A$2),$A$5=""),"",INDEX(DemoHistory[],$A691,MATCH($A$5,DemoHistory[#Headers],0)))</f>
        <v/>
      </c>
      <c r="D691" s="166" t="str">
        <f>IF($A691&gt;MIN($A$10,$A$2),"",IF(AND($A$12,$A$6=1,B691&lt;$A$7,$A$7&lt;=MAX(DemoHistory[Date])),$A$8,1))</f>
        <v/>
      </c>
      <c r="E691" s="166" t="str">
        <f t="shared" si="30"/>
        <v/>
      </c>
      <c r="F691" s="166" t="str">
        <f>IF($A691&gt;MIN($A$10,$A$2),"",IF($A691&lt;50,"n.a.",IF(COUNT(INDEX(StockDaily[Adjusted close],MAX(1,$A691-50+1)):E691)=50,AVERAGE(INDEX(StockDaily[Adjusted close],MAX(1,$A691-50+1)):E691),"n.a.")))</f>
        <v/>
      </c>
      <c r="G691" s="166" t="str">
        <f>IF($A691&gt;MIN($A$10,$A$2),"",IF($A691&lt;200,"n.a.",IF(COUNT(INDEX(StockDaily[Adjusted close],MAX(1,$A691-200+1)):E691)=200,AVERAGE(INDEX(StockDaily[Adjusted close],MAX(1,$A691-200+1)):E691),"n.a.")))</f>
        <v/>
      </c>
      <c r="H691" s="136" t="str">
        <f>IF($A691&gt;MIN($A$10,$A$2),"",IF($A$5="","Choose stock",IF(NOT($A$12),"Check split rule",IF(NOT(ISNUMBER(B691)),"Invalid date",IF(OR(B691&lt;=0,B691&lt;&gt;INT(B691)),"Invalid date",IF(COUNTIFS(DemoHistory[Date],B691)&lt;&gt;1,"Duplicate date",IF(AND($A691&gt;1,B691&lt;=B690),"Dates out of order",IF(NOT(ISNUMBER(C691)),"Missing price",IF(C691&lt;=0,"Nonpositive price","OK")))))))))</f>
        <v/>
      </c>
      <c r="I691" s="136"/>
      <c r="J691" s="136"/>
      <c r="K691" s="136"/>
      <c r="L691" s="136"/>
      <c r="M691" s="136"/>
      <c r="N691" s="136" t="e">
        <f t="shared" si="31"/>
        <v>#N/A</v>
      </c>
      <c r="O691" s="136" t="e">
        <f t="shared" si="32"/>
        <v>#N/A</v>
      </c>
    </row>
    <row r="692" spans="1:15" ht="22.05" customHeight="1" x14ac:dyDescent="0.3">
      <c r="A692" s="136">
        <v>648</v>
      </c>
      <c r="B692" s="165" t="str">
        <f>IF($A692&gt;MIN($A$10,$A$2),"",INDEX(DemoHistory[Date],$A692))</f>
        <v/>
      </c>
      <c r="C692" s="166" t="str">
        <f>IF(OR($A692&gt;MIN($A$10,$A$2),$A$5=""),"",INDEX(DemoHistory[],$A692,MATCH($A$5,DemoHistory[#Headers],0)))</f>
        <v/>
      </c>
      <c r="D692" s="166" t="str">
        <f>IF($A692&gt;MIN($A$10,$A$2),"",IF(AND($A$12,$A$6=1,B692&lt;$A$7,$A$7&lt;=MAX(DemoHistory[Date])),$A$8,1))</f>
        <v/>
      </c>
      <c r="E692" s="166" t="str">
        <f t="shared" si="30"/>
        <v/>
      </c>
      <c r="F692" s="166" t="str">
        <f>IF($A692&gt;MIN($A$10,$A$2),"",IF($A692&lt;50,"n.a.",IF(COUNT(INDEX(StockDaily[Adjusted close],MAX(1,$A692-50+1)):E692)=50,AVERAGE(INDEX(StockDaily[Adjusted close],MAX(1,$A692-50+1)):E692),"n.a.")))</f>
        <v/>
      </c>
      <c r="G692" s="166" t="str">
        <f>IF($A692&gt;MIN($A$10,$A$2),"",IF($A692&lt;200,"n.a.",IF(COUNT(INDEX(StockDaily[Adjusted close],MAX(1,$A692-200+1)):E692)=200,AVERAGE(INDEX(StockDaily[Adjusted close],MAX(1,$A692-200+1)):E692),"n.a.")))</f>
        <v/>
      </c>
      <c r="H692" s="136" t="str">
        <f>IF($A692&gt;MIN($A$10,$A$2),"",IF($A$5="","Choose stock",IF(NOT($A$12),"Check split rule",IF(NOT(ISNUMBER(B692)),"Invalid date",IF(OR(B692&lt;=0,B692&lt;&gt;INT(B692)),"Invalid date",IF(COUNTIFS(DemoHistory[Date],B692)&lt;&gt;1,"Duplicate date",IF(AND($A692&gt;1,B692&lt;=B691),"Dates out of order",IF(NOT(ISNUMBER(C692)),"Missing price",IF(C692&lt;=0,"Nonpositive price","OK")))))))))</f>
        <v/>
      </c>
      <c r="I692" s="136"/>
      <c r="J692" s="136"/>
      <c r="K692" s="136"/>
      <c r="L692" s="136"/>
      <c r="M692" s="136"/>
      <c r="N692" s="136" t="e">
        <f t="shared" si="31"/>
        <v>#N/A</v>
      </c>
      <c r="O692" s="136" t="e">
        <f t="shared" si="32"/>
        <v>#N/A</v>
      </c>
    </row>
    <row r="693" spans="1:15" ht="22.05" customHeight="1" x14ac:dyDescent="0.3">
      <c r="A693" s="136">
        <v>649</v>
      </c>
      <c r="B693" s="165" t="str">
        <f>IF($A693&gt;MIN($A$10,$A$2),"",INDEX(DemoHistory[Date],$A693))</f>
        <v/>
      </c>
      <c r="C693" s="166" t="str">
        <f>IF(OR($A693&gt;MIN($A$10,$A$2),$A$5=""),"",INDEX(DemoHistory[],$A693,MATCH($A$5,DemoHistory[#Headers],0)))</f>
        <v/>
      </c>
      <c r="D693" s="166" t="str">
        <f>IF($A693&gt;MIN($A$10,$A$2),"",IF(AND($A$12,$A$6=1,B693&lt;$A$7,$A$7&lt;=MAX(DemoHistory[Date])),$A$8,1))</f>
        <v/>
      </c>
      <c r="E693" s="166" t="str">
        <f t="shared" si="30"/>
        <v/>
      </c>
      <c r="F693" s="166" t="str">
        <f>IF($A693&gt;MIN($A$10,$A$2),"",IF($A693&lt;50,"n.a.",IF(COUNT(INDEX(StockDaily[Adjusted close],MAX(1,$A693-50+1)):E693)=50,AVERAGE(INDEX(StockDaily[Adjusted close],MAX(1,$A693-50+1)):E693),"n.a.")))</f>
        <v/>
      </c>
      <c r="G693" s="166" t="str">
        <f>IF($A693&gt;MIN($A$10,$A$2),"",IF($A693&lt;200,"n.a.",IF(COUNT(INDEX(StockDaily[Adjusted close],MAX(1,$A693-200+1)):E693)=200,AVERAGE(INDEX(StockDaily[Adjusted close],MAX(1,$A693-200+1)):E693),"n.a.")))</f>
        <v/>
      </c>
      <c r="H693" s="136" t="str">
        <f>IF($A693&gt;MIN($A$10,$A$2),"",IF($A$5="","Choose stock",IF(NOT($A$12),"Check split rule",IF(NOT(ISNUMBER(B693)),"Invalid date",IF(OR(B693&lt;=0,B693&lt;&gt;INT(B693)),"Invalid date",IF(COUNTIFS(DemoHistory[Date],B693)&lt;&gt;1,"Duplicate date",IF(AND($A693&gt;1,B693&lt;=B692),"Dates out of order",IF(NOT(ISNUMBER(C693)),"Missing price",IF(C693&lt;=0,"Nonpositive price","OK")))))))))</f>
        <v/>
      </c>
      <c r="I693" s="136"/>
      <c r="J693" s="136"/>
      <c r="K693" s="136"/>
      <c r="L693" s="136"/>
      <c r="M693" s="136"/>
      <c r="N693" s="136" t="e">
        <f t="shared" si="31"/>
        <v>#N/A</v>
      </c>
      <c r="O693" s="136" t="e">
        <f t="shared" si="32"/>
        <v>#N/A</v>
      </c>
    </row>
    <row r="694" spans="1:15" ht="22.05" customHeight="1" x14ac:dyDescent="0.3">
      <c r="A694" s="136">
        <v>650</v>
      </c>
      <c r="B694" s="165" t="str">
        <f>IF($A694&gt;MIN($A$10,$A$2),"",INDEX(DemoHistory[Date],$A694))</f>
        <v/>
      </c>
      <c r="C694" s="166" t="str">
        <f>IF(OR($A694&gt;MIN($A$10,$A$2),$A$5=""),"",INDEX(DemoHistory[],$A694,MATCH($A$5,DemoHistory[#Headers],0)))</f>
        <v/>
      </c>
      <c r="D694" s="166" t="str">
        <f>IF($A694&gt;MIN($A$10,$A$2),"",IF(AND($A$12,$A$6=1,B694&lt;$A$7,$A$7&lt;=MAX(DemoHistory[Date])),$A$8,1))</f>
        <v/>
      </c>
      <c r="E694" s="166" t="str">
        <f t="shared" si="30"/>
        <v/>
      </c>
      <c r="F694" s="166" t="str">
        <f>IF($A694&gt;MIN($A$10,$A$2),"",IF($A694&lt;50,"n.a.",IF(COUNT(INDEX(StockDaily[Adjusted close],MAX(1,$A694-50+1)):E694)=50,AVERAGE(INDEX(StockDaily[Adjusted close],MAX(1,$A694-50+1)):E694),"n.a.")))</f>
        <v/>
      </c>
      <c r="G694" s="166" t="str">
        <f>IF($A694&gt;MIN($A$10,$A$2),"",IF($A694&lt;200,"n.a.",IF(COUNT(INDEX(StockDaily[Adjusted close],MAX(1,$A694-200+1)):E694)=200,AVERAGE(INDEX(StockDaily[Adjusted close],MAX(1,$A694-200+1)):E694),"n.a.")))</f>
        <v/>
      </c>
      <c r="H694" s="136" t="str">
        <f>IF($A694&gt;MIN($A$10,$A$2),"",IF($A$5="","Choose stock",IF(NOT($A$12),"Check split rule",IF(NOT(ISNUMBER(B694)),"Invalid date",IF(OR(B694&lt;=0,B694&lt;&gt;INT(B694)),"Invalid date",IF(COUNTIFS(DemoHistory[Date],B694)&lt;&gt;1,"Duplicate date",IF(AND($A694&gt;1,B694&lt;=B693),"Dates out of order",IF(NOT(ISNUMBER(C694)),"Missing price",IF(C694&lt;=0,"Nonpositive price","OK")))))))))</f>
        <v/>
      </c>
      <c r="I694" s="136"/>
      <c r="J694" s="136"/>
      <c r="K694" s="136"/>
      <c r="L694" s="136"/>
      <c r="M694" s="136"/>
      <c r="N694" s="136" t="e">
        <f t="shared" si="31"/>
        <v>#N/A</v>
      </c>
      <c r="O694" s="136" t="e">
        <f t="shared" si="32"/>
        <v>#N/A</v>
      </c>
    </row>
    <row r="695" spans="1:15" ht="22.05" customHeight="1" x14ac:dyDescent="0.3">
      <c r="A695" s="136">
        <v>651</v>
      </c>
      <c r="B695" s="165" t="str">
        <f>IF($A695&gt;MIN($A$10,$A$2),"",INDEX(DemoHistory[Date],$A695))</f>
        <v/>
      </c>
      <c r="C695" s="166" t="str">
        <f>IF(OR($A695&gt;MIN($A$10,$A$2),$A$5=""),"",INDEX(DemoHistory[],$A695,MATCH($A$5,DemoHistory[#Headers],0)))</f>
        <v/>
      </c>
      <c r="D695" s="166" t="str">
        <f>IF($A695&gt;MIN($A$10,$A$2),"",IF(AND($A$12,$A$6=1,B695&lt;$A$7,$A$7&lt;=MAX(DemoHistory[Date])),$A$8,1))</f>
        <v/>
      </c>
      <c r="E695" s="166" t="str">
        <f t="shared" si="30"/>
        <v/>
      </c>
      <c r="F695" s="166" t="str">
        <f>IF($A695&gt;MIN($A$10,$A$2),"",IF($A695&lt;50,"n.a.",IF(COUNT(INDEX(StockDaily[Adjusted close],MAX(1,$A695-50+1)):E695)=50,AVERAGE(INDEX(StockDaily[Adjusted close],MAX(1,$A695-50+1)):E695),"n.a.")))</f>
        <v/>
      </c>
      <c r="G695" s="166" t="str">
        <f>IF($A695&gt;MIN($A$10,$A$2),"",IF($A695&lt;200,"n.a.",IF(COUNT(INDEX(StockDaily[Adjusted close],MAX(1,$A695-200+1)):E695)=200,AVERAGE(INDEX(StockDaily[Adjusted close],MAX(1,$A695-200+1)):E695),"n.a.")))</f>
        <v/>
      </c>
      <c r="H695" s="136" t="str">
        <f>IF($A695&gt;MIN($A$10,$A$2),"",IF($A$5="","Choose stock",IF(NOT($A$12),"Check split rule",IF(NOT(ISNUMBER(B695)),"Invalid date",IF(OR(B695&lt;=0,B695&lt;&gt;INT(B695)),"Invalid date",IF(COUNTIFS(DemoHistory[Date],B695)&lt;&gt;1,"Duplicate date",IF(AND($A695&gt;1,B695&lt;=B694),"Dates out of order",IF(NOT(ISNUMBER(C695)),"Missing price",IF(C695&lt;=0,"Nonpositive price","OK")))))))))</f>
        <v/>
      </c>
      <c r="I695" s="136"/>
      <c r="J695" s="136"/>
      <c r="K695" s="136"/>
      <c r="L695" s="136"/>
      <c r="M695" s="136"/>
      <c r="N695" s="136" t="e">
        <f t="shared" si="31"/>
        <v>#N/A</v>
      </c>
      <c r="O695" s="136" t="e">
        <f t="shared" si="32"/>
        <v>#N/A</v>
      </c>
    </row>
    <row r="696" spans="1:15" ht="22.05" customHeight="1" x14ac:dyDescent="0.3">
      <c r="A696" s="136">
        <v>652</v>
      </c>
      <c r="B696" s="165" t="str">
        <f>IF($A696&gt;MIN($A$10,$A$2),"",INDEX(DemoHistory[Date],$A696))</f>
        <v/>
      </c>
      <c r="C696" s="166" t="str">
        <f>IF(OR($A696&gt;MIN($A$10,$A$2),$A$5=""),"",INDEX(DemoHistory[],$A696,MATCH($A$5,DemoHistory[#Headers],0)))</f>
        <v/>
      </c>
      <c r="D696" s="166" t="str">
        <f>IF($A696&gt;MIN($A$10,$A$2),"",IF(AND($A$12,$A$6=1,B696&lt;$A$7,$A$7&lt;=MAX(DemoHistory[Date])),$A$8,1))</f>
        <v/>
      </c>
      <c r="E696" s="166" t="str">
        <f t="shared" si="30"/>
        <v/>
      </c>
      <c r="F696" s="166" t="str">
        <f>IF($A696&gt;MIN($A$10,$A$2),"",IF($A696&lt;50,"n.a.",IF(COUNT(INDEX(StockDaily[Adjusted close],MAX(1,$A696-50+1)):E696)=50,AVERAGE(INDEX(StockDaily[Adjusted close],MAX(1,$A696-50+1)):E696),"n.a.")))</f>
        <v/>
      </c>
      <c r="G696" s="166" t="str">
        <f>IF($A696&gt;MIN($A$10,$A$2),"",IF($A696&lt;200,"n.a.",IF(COUNT(INDEX(StockDaily[Adjusted close],MAX(1,$A696-200+1)):E696)=200,AVERAGE(INDEX(StockDaily[Adjusted close],MAX(1,$A696-200+1)):E696),"n.a.")))</f>
        <v/>
      </c>
      <c r="H696" s="136" t="str">
        <f>IF($A696&gt;MIN($A$10,$A$2),"",IF($A$5="","Choose stock",IF(NOT($A$12),"Check split rule",IF(NOT(ISNUMBER(B696)),"Invalid date",IF(OR(B696&lt;=0,B696&lt;&gt;INT(B696)),"Invalid date",IF(COUNTIFS(DemoHistory[Date],B696)&lt;&gt;1,"Duplicate date",IF(AND($A696&gt;1,B696&lt;=B695),"Dates out of order",IF(NOT(ISNUMBER(C696)),"Missing price",IF(C696&lt;=0,"Nonpositive price","OK")))))))))</f>
        <v/>
      </c>
      <c r="I696" s="136"/>
      <c r="J696" s="136"/>
      <c r="K696" s="136"/>
      <c r="L696" s="136"/>
      <c r="M696" s="136"/>
      <c r="N696" s="136" t="e">
        <f t="shared" si="31"/>
        <v>#N/A</v>
      </c>
      <c r="O696" s="136" t="e">
        <f t="shared" si="32"/>
        <v>#N/A</v>
      </c>
    </row>
    <row r="697" spans="1:15" ht="22.05" customHeight="1" x14ac:dyDescent="0.3">
      <c r="A697" s="136">
        <v>653</v>
      </c>
      <c r="B697" s="165" t="str">
        <f>IF($A697&gt;MIN($A$10,$A$2),"",INDEX(DemoHistory[Date],$A697))</f>
        <v/>
      </c>
      <c r="C697" s="166" t="str">
        <f>IF(OR($A697&gt;MIN($A$10,$A$2),$A$5=""),"",INDEX(DemoHistory[],$A697,MATCH($A$5,DemoHistory[#Headers],0)))</f>
        <v/>
      </c>
      <c r="D697" s="166" t="str">
        <f>IF($A697&gt;MIN($A$10,$A$2),"",IF(AND($A$12,$A$6=1,B697&lt;$A$7,$A$7&lt;=MAX(DemoHistory[Date])),$A$8,1))</f>
        <v/>
      </c>
      <c r="E697" s="166" t="str">
        <f t="shared" si="30"/>
        <v/>
      </c>
      <c r="F697" s="166" t="str">
        <f>IF($A697&gt;MIN($A$10,$A$2),"",IF($A697&lt;50,"n.a.",IF(COUNT(INDEX(StockDaily[Adjusted close],MAX(1,$A697-50+1)):E697)=50,AVERAGE(INDEX(StockDaily[Adjusted close],MAX(1,$A697-50+1)):E697),"n.a.")))</f>
        <v/>
      </c>
      <c r="G697" s="166" t="str">
        <f>IF($A697&gt;MIN($A$10,$A$2),"",IF($A697&lt;200,"n.a.",IF(COUNT(INDEX(StockDaily[Adjusted close],MAX(1,$A697-200+1)):E697)=200,AVERAGE(INDEX(StockDaily[Adjusted close],MAX(1,$A697-200+1)):E697),"n.a.")))</f>
        <v/>
      </c>
      <c r="H697" s="136" t="str">
        <f>IF($A697&gt;MIN($A$10,$A$2),"",IF($A$5="","Choose stock",IF(NOT($A$12),"Check split rule",IF(NOT(ISNUMBER(B697)),"Invalid date",IF(OR(B697&lt;=0,B697&lt;&gt;INT(B697)),"Invalid date",IF(COUNTIFS(DemoHistory[Date],B697)&lt;&gt;1,"Duplicate date",IF(AND($A697&gt;1,B697&lt;=B696),"Dates out of order",IF(NOT(ISNUMBER(C697)),"Missing price",IF(C697&lt;=0,"Nonpositive price","OK")))))))))</f>
        <v/>
      </c>
      <c r="I697" s="136"/>
      <c r="J697" s="136"/>
      <c r="K697" s="136"/>
      <c r="L697" s="136"/>
      <c r="M697" s="136"/>
      <c r="N697" s="136" t="e">
        <f t="shared" si="31"/>
        <v>#N/A</v>
      </c>
      <c r="O697" s="136" t="e">
        <f t="shared" si="32"/>
        <v>#N/A</v>
      </c>
    </row>
    <row r="698" spans="1:15" ht="22.05" customHeight="1" x14ac:dyDescent="0.3">
      <c r="A698" s="136">
        <v>654</v>
      </c>
      <c r="B698" s="165" t="str">
        <f>IF($A698&gt;MIN($A$10,$A$2),"",INDEX(DemoHistory[Date],$A698))</f>
        <v/>
      </c>
      <c r="C698" s="166" t="str">
        <f>IF(OR($A698&gt;MIN($A$10,$A$2),$A$5=""),"",INDEX(DemoHistory[],$A698,MATCH($A$5,DemoHistory[#Headers],0)))</f>
        <v/>
      </c>
      <c r="D698" s="166" t="str">
        <f>IF($A698&gt;MIN($A$10,$A$2),"",IF(AND($A$12,$A$6=1,B698&lt;$A$7,$A$7&lt;=MAX(DemoHistory[Date])),$A$8,1))</f>
        <v/>
      </c>
      <c r="E698" s="166" t="str">
        <f t="shared" si="30"/>
        <v/>
      </c>
      <c r="F698" s="166" t="str">
        <f>IF($A698&gt;MIN($A$10,$A$2),"",IF($A698&lt;50,"n.a.",IF(COUNT(INDEX(StockDaily[Adjusted close],MAX(1,$A698-50+1)):E698)=50,AVERAGE(INDEX(StockDaily[Adjusted close],MAX(1,$A698-50+1)):E698),"n.a.")))</f>
        <v/>
      </c>
      <c r="G698" s="166" t="str">
        <f>IF($A698&gt;MIN($A$10,$A$2),"",IF($A698&lt;200,"n.a.",IF(COUNT(INDEX(StockDaily[Adjusted close],MAX(1,$A698-200+1)):E698)=200,AVERAGE(INDEX(StockDaily[Adjusted close],MAX(1,$A698-200+1)):E698),"n.a.")))</f>
        <v/>
      </c>
      <c r="H698" s="136" t="str">
        <f>IF($A698&gt;MIN($A$10,$A$2),"",IF($A$5="","Choose stock",IF(NOT($A$12),"Check split rule",IF(NOT(ISNUMBER(B698)),"Invalid date",IF(OR(B698&lt;=0,B698&lt;&gt;INT(B698)),"Invalid date",IF(COUNTIFS(DemoHistory[Date],B698)&lt;&gt;1,"Duplicate date",IF(AND($A698&gt;1,B698&lt;=B697),"Dates out of order",IF(NOT(ISNUMBER(C698)),"Missing price",IF(C698&lt;=0,"Nonpositive price","OK")))))))))</f>
        <v/>
      </c>
      <c r="I698" s="136"/>
      <c r="J698" s="136"/>
      <c r="K698" s="136"/>
      <c r="L698" s="136"/>
      <c r="M698" s="136"/>
      <c r="N698" s="136" t="e">
        <f t="shared" si="31"/>
        <v>#N/A</v>
      </c>
      <c r="O698" s="136" t="e">
        <f t="shared" si="32"/>
        <v>#N/A</v>
      </c>
    </row>
    <row r="699" spans="1:15" ht="22.05" customHeight="1" x14ac:dyDescent="0.3">
      <c r="A699" s="136">
        <v>655</v>
      </c>
      <c r="B699" s="165" t="str">
        <f>IF($A699&gt;MIN($A$10,$A$2),"",INDEX(DemoHistory[Date],$A699))</f>
        <v/>
      </c>
      <c r="C699" s="166" t="str">
        <f>IF(OR($A699&gt;MIN($A$10,$A$2),$A$5=""),"",INDEX(DemoHistory[],$A699,MATCH($A$5,DemoHistory[#Headers],0)))</f>
        <v/>
      </c>
      <c r="D699" s="166" t="str">
        <f>IF($A699&gt;MIN($A$10,$A$2),"",IF(AND($A$12,$A$6=1,B699&lt;$A$7,$A$7&lt;=MAX(DemoHistory[Date])),$A$8,1))</f>
        <v/>
      </c>
      <c r="E699" s="166" t="str">
        <f t="shared" si="30"/>
        <v/>
      </c>
      <c r="F699" s="166" t="str">
        <f>IF($A699&gt;MIN($A$10,$A$2),"",IF($A699&lt;50,"n.a.",IF(COUNT(INDEX(StockDaily[Adjusted close],MAX(1,$A699-50+1)):E699)=50,AVERAGE(INDEX(StockDaily[Adjusted close],MAX(1,$A699-50+1)):E699),"n.a.")))</f>
        <v/>
      </c>
      <c r="G699" s="166" t="str">
        <f>IF($A699&gt;MIN($A$10,$A$2),"",IF($A699&lt;200,"n.a.",IF(COUNT(INDEX(StockDaily[Adjusted close],MAX(1,$A699-200+1)):E699)=200,AVERAGE(INDEX(StockDaily[Adjusted close],MAX(1,$A699-200+1)):E699),"n.a.")))</f>
        <v/>
      </c>
      <c r="H699" s="136" t="str">
        <f>IF($A699&gt;MIN($A$10,$A$2),"",IF($A$5="","Choose stock",IF(NOT($A$12),"Check split rule",IF(NOT(ISNUMBER(B699)),"Invalid date",IF(OR(B699&lt;=0,B699&lt;&gt;INT(B699)),"Invalid date",IF(COUNTIFS(DemoHistory[Date],B699)&lt;&gt;1,"Duplicate date",IF(AND($A699&gt;1,B699&lt;=B698),"Dates out of order",IF(NOT(ISNUMBER(C699)),"Missing price",IF(C699&lt;=0,"Nonpositive price","OK")))))))))</f>
        <v/>
      </c>
      <c r="I699" s="136"/>
      <c r="J699" s="136"/>
      <c r="K699" s="136"/>
      <c r="L699" s="136"/>
      <c r="M699" s="136"/>
      <c r="N699" s="136" t="e">
        <f t="shared" si="31"/>
        <v>#N/A</v>
      </c>
      <c r="O699" s="136" t="e">
        <f t="shared" si="32"/>
        <v>#N/A</v>
      </c>
    </row>
    <row r="700" spans="1:15" ht="22.05" customHeight="1" x14ac:dyDescent="0.3">
      <c r="A700" s="136">
        <v>656</v>
      </c>
      <c r="B700" s="165" t="str">
        <f>IF($A700&gt;MIN($A$10,$A$2),"",INDEX(DemoHistory[Date],$A700))</f>
        <v/>
      </c>
      <c r="C700" s="166" t="str">
        <f>IF(OR($A700&gt;MIN($A$10,$A$2),$A$5=""),"",INDEX(DemoHistory[],$A700,MATCH($A$5,DemoHistory[#Headers],0)))</f>
        <v/>
      </c>
      <c r="D700" s="166" t="str">
        <f>IF($A700&gt;MIN($A$10,$A$2),"",IF(AND($A$12,$A$6=1,B700&lt;$A$7,$A$7&lt;=MAX(DemoHistory[Date])),$A$8,1))</f>
        <v/>
      </c>
      <c r="E700" s="166" t="str">
        <f t="shared" si="30"/>
        <v/>
      </c>
      <c r="F700" s="166" t="str">
        <f>IF($A700&gt;MIN($A$10,$A$2),"",IF($A700&lt;50,"n.a.",IF(COUNT(INDEX(StockDaily[Adjusted close],MAX(1,$A700-50+1)):E700)=50,AVERAGE(INDEX(StockDaily[Adjusted close],MAX(1,$A700-50+1)):E700),"n.a.")))</f>
        <v/>
      </c>
      <c r="G700" s="166" t="str">
        <f>IF($A700&gt;MIN($A$10,$A$2),"",IF($A700&lt;200,"n.a.",IF(COUNT(INDEX(StockDaily[Adjusted close],MAX(1,$A700-200+1)):E700)=200,AVERAGE(INDEX(StockDaily[Adjusted close],MAX(1,$A700-200+1)):E700),"n.a.")))</f>
        <v/>
      </c>
      <c r="H700" s="136" t="str">
        <f>IF($A700&gt;MIN($A$10,$A$2),"",IF($A$5="","Choose stock",IF(NOT($A$12),"Check split rule",IF(NOT(ISNUMBER(B700)),"Invalid date",IF(OR(B700&lt;=0,B700&lt;&gt;INT(B700)),"Invalid date",IF(COUNTIFS(DemoHistory[Date],B700)&lt;&gt;1,"Duplicate date",IF(AND($A700&gt;1,B700&lt;=B699),"Dates out of order",IF(NOT(ISNUMBER(C700)),"Missing price",IF(C700&lt;=0,"Nonpositive price","OK")))))))))</f>
        <v/>
      </c>
      <c r="I700" s="136"/>
      <c r="J700" s="136"/>
      <c r="K700" s="136"/>
      <c r="L700" s="136"/>
      <c r="M700" s="136"/>
      <c r="N700" s="136" t="e">
        <f t="shared" si="31"/>
        <v>#N/A</v>
      </c>
      <c r="O700" s="136" t="e">
        <f t="shared" si="32"/>
        <v>#N/A</v>
      </c>
    </row>
    <row r="701" spans="1:15" ht="22.05" customHeight="1" x14ac:dyDescent="0.3">
      <c r="A701" s="136">
        <v>657</v>
      </c>
      <c r="B701" s="165" t="str">
        <f>IF($A701&gt;MIN($A$10,$A$2),"",INDEX(DemoHistory[Date],$A701))</f>
        <v/>
      </c>
      <c r="C701" s="166" t="str">
        <f>IF(OR($A701&gt;MIN($A$10,$A$2),$A$5=""),"",INDEX(DemoHistory[],$A701,MATCH($A$5,DemoHistory[#Headers],0)))</f>
        <v/>
      </c>
      <c r="D701" s="166" t="str">
        <f>IF($A701&gt;MIN($A$10,$A$2),"",IF(AND($A$12,$A$6=1,B701&lt;$A$7,$A$7&lt;=MAX(DemoHistory[Date])),$A$8,1))</f>
        <v/>
      </c>
      <c r="E701" s="166" t="str">
        <f t="shared" si="30"/>
        <v/>
      </c>
      <c r="F701" s="166" t="str">
        <f>IF($A701&gt;MIN($A$10,$A$2),"",IF($A701&lt;50,"n.a.",IF(COUNT(INDEX(StockDaily[Adjusted close],MAX(1,$A701-50+1)):E701)=50,AVERAGE(INDEX(StockDaily[Adjusted close],MAX(1,$A701-50+1)):E701),"n.a.")))</f>
        <v/>
      </c>
      <c r="G701" s="166" t="str">
        <f>IF($A701&gt;MIN($A$10,$A$2),"",IF($A701&lt;200,"n.a.",IF(COUNT(INDEX(StockDaily[Adjusted close],MAX(1,$A701-200+1)):E701)=200,AVERAGE(INDEX(StockDaily[Adjusted close],MAX(1,$A701-200+1)):E701),"n.a.")))</f>
        <v/>
      </c>
      <c r="H701" s="136" t="str">
        <f>IF($A701&gt;MIN($A$10,$A$2),"",IF($A$5="","Choose stock",IF(NOT($A$12),"Check split rule",IF(NOT(ISNUMBER(B701)),"Invalid date",IF(OR(B701&lt;=0,B701&lt;&gt;INT(B701)),"Invalid date",IF(COUNTIFS(DemoHistory[Date],B701)&lt;&gt;1,"Duplicate date",IF(AND($A701&gt;1,B701&lt;=B700),"Dates out of order",IF(NOT(ISNUMBER(C701)),"Missing price",IF(C701&lt;=0,"Nonpositive price","OK")))))))))</f>
        <v/>
      </c>
      <c r="I701" s="136"/>
      <c r="J701" s="136"/>
      <c r="K701" s="136"/>
      <c r="L701" s="136"/>
      <c r="M701" s="136"/>
      <c r="N701" s="136" t="e">
        <f t="shared" si="31"/>
        <v>#N/A</v>
      </c>
      <c r="O701" s="136" t="e">
        <f t="shared" si="32"/>
        <v>#N/A</v>
      </c>
    </row>
    <row r="702" spans="1:15" ht="22.05" customHeight="1" x14ac:dyDescent="0.3">
      <c r="A702" s="136">
        <v>658</v>
      </c>
      <c r="B702" s="165" t="str">
        <f>IF($A702&gt;MIN($A$10,$A$2),"",INDEX(DemoHistory[Date],$A702))</f>
        <v/>
      </c>
      <c r="C702" s="166" t="str">
        <f>IF(OR($A702&gt;MIN($A$10,$A$2),$A$5=""),"",INDEX(DemoHistory[],$A702,MATCH($A$5,DemoHistory[#Headers],0)))</f>
        <v/>
      </c>
      <c r="D702" s="166" t="str">
        <f>IF($A702&gt;MIN($A$10,$A$2),"",IF(AND($A$12,$A$6=1,B702&lt;$A$7,$A$7&lt;=MAX(DemoHistory[Date])),$A$8,1))</f>
        <v/>
      </c>
      <c r="E702" s="166" t="str">
        <f t="shared" si="30"/>
        <v/>
      </c>
      <c r="F702" s="166" t="str">
        <f>IF($A702&gt;MIN($A$10,$A$2),"",IF($A702&lt;50,"n.a.",IF(COUNT(INDEX(StockDaily[Adjusted close],MAX(1,$A702-50+1)):E702)=50,AVERAGE(INDEX(StockDaily[Adjusted close],MAX(1,$A702-50+1)):E702),"n.a.")))</f>
        <v/>
      </c>
      <c r="G702" s="166" t="str">
        <f>IF($A702&gt;MIN($A$10,$A$2),"",IF($A702&lt;200,"n.a.",IF(COUNT(INDEX(StockDaily[Adjusted close],MAX(1,$A702-200+1)):E702)=200,AVERAGE(INDEX(StockDaily[Adjusted close],MAX(1,$A702-200+1)):E702),"n.a.")))</f>
        <v/>
      </c>
      <c r="H702" s="136" t="str">
        <f>IF($A702&gt;MIN($A$10,$A$2),"",IF($A$5="","Choose stock",IF(NOT($A$12),"Check split rule",IF(NOT(ISNUMBER(B702)),"Invalid date",IF(OR(B702&lt;=0,B702&lt;&gt;INT(B702)),"Invalid date",IF(COUNTIFS(DemoHistory[Date],B702)&lt;&gt;1,"Duplicate date",IF(AND($A702&gt;1,B702&lt;=B701),"Dates out of order",IF(NOT(ISNUMBER(C702)),"Missing price",IF(C702&lt;=0,"Nonpositive price","OK")))))))))</f>
        <v/>
      </c>
      <c r="I702" s="136"/>
      <c r="J702" s="136"/>
      <c r="K702" s="136"/>
      <c r="L702" s="136"/>
      <c r="M702" s="136"/>
      <c r="N702" s="136" t="e">
        <f t="shared" si="31"/>
        <v>#N/A</v>
      </c>
      <c r="O702" s="136" t="e">
        <f t="shared" si="32"/>
        <v>#N/A</v>
      </c>
    </row>
    <row r="703" spans="1:15" ht="22.05" customHeight="1" x14ac:dyDescent="0.3">
      <c r="A703" s="136">
        <v>659</v>
      </c>
      <c r="B703" s="165" t="str">
        <f>IF($A703&gt;MIN($A$10,$A$2),"",INDEX(DemoHistory[Date],$A703))</f>
        <v/>
      </c>
      <c r="C703" s="166" t="str">
        <f>IF(OR($A703&gt;MIN($A$10,$A$2),$A$5=""),"",INDEX(DemoHistory[],$A703,MATCH($A$5,DemoHistory[#Headers],0)))</f>
        <v/>
      </c>
      <c r="D703" s="166" t="str">
        <f>IF($A703&gt;MIN($A$10,$A$2),"",IF(AND($A$12,$A$6=1,B703&lt;$A$7,$A$7&lt;=MAX(DemoHistory[Date])),$A$8,1))</f>
        <v/>
      </c>
      <c r="E703" s="166" t="str">
        <f t="shared" si="30"/>
        <v/>
      </c>
      <c r="F703" s="166" t="str">
        <f>IF($A703&gt;MIN($A$10,$A$2),"",IF($A703&lt;50,"n.a.",IF(COUNT(INDEX(StockDaily[Adjusted close],MAX(1,$A703-50+1)):E703)=50,AVERAGE(INDEX(StockDaily[Adjusted close],MAX(1,$A703-50+1)):E703),"n.a.")))</f>
        <v/>
      </c>
      <c r="G703" s="166" t="str">
        <f>IF($A703&gt;MIN($A$10,$A$2),"",IF($A703&lt;200,"n.a.",IF(COUNT(INDEX(StockDaily[Adjusted close],MAX(1,$A703-200+1)):E703)=200,AVERAGE(INDEX(StockDaily[Adjusted close],MAX(1,$A703-200+1)):E703),"n.a.")))</f>
        <v/>
      </c>
      <c r="H703" s="136" t="str">
        <f>IF($A703&gt;MIN($A$10,$A$2),"",IF($A$5="","Choose stock",IF(NOT($A$12),"Check split rule",IF(NOT(ISNUMBER(B703)),"Invalid date",IF(OR(B703&lt;=0,B703&lt;&gt;INT(B703)),"Invalid date",IF(COUNTIFS(DemoHistory[Date],B703)&lt;&gt;1,"Duplicate date",IF(AND($A703&gt;1,B703&lt;=B702),"Dates out of order",IF(NOT(ISNUMBER(C703)),"Missing price",IF(C703&lt;=0,"Nonpositive price","OK")))))))))</f>
        <v/>
      </c>
      <c r="I703" s="136"/>
      <c r="J703" s="136"/>
      <c r="K703" s="136"/>
      <c r="L703" s="136"/>
      <c r="M703" s="136"/>
      <c r="N703" s="136" t="e">
        <f t="shared" si="31"/>
        <v>#N/A</v>
      </c>
      <c r="O703" s="136" t="e">
        <f t="shared" si="32"/>
        <v>#N/A</v>
      </c>
    </row>
    <row r="704" spans="1:15" ht="22.05" customHeight="1" x14ac:dyDescent="0.3">
      <c r="A704" s="136">
        <v>660</v>
      </c>
      <c r="B704" s="165" t="str">
        <f>IF($A704&gt;MIN($A$10,$A$2),"",INDEX(DemoHistory[Date],$A704))</f>
        <v/>
      </c>
      <c r="C704" s="166" t="str">
        <f>IF(OR($A704&gt;MIN($A$10,$A$2),$A$5=""),"",INDEX(DemoHistory[],$A704,MATCH($A$5,DemoHistory[#Headers],0)))</f>
        <v/>
      </c>
      <c r="D704" s="166" t="str">
        <f>IF($A704&gt;MIN($A$10,$A$2),"",IF(AND($A$12,$A$6=1,B704&lt;$A$7,$A$7&lt;=MAX(DemoHistory[Date])),$A$8,1))</f>
        <v/>
      </c>
      <c r="E704" s="166" t="str">
        <f t="shared" si="30"/>
        <v/>
      </c>
      <c r="F704" s="166" t="str">
        <f>IF($A704&gt;MIN($A$10,$A$2),"",IF($A704&lt;50,"n.a.",IF(COUNT(INDEX(StockDaily[Adjusted close],MAX(1,$A704-50+1)):E704)=50,AVERAGE(INDEX(StockDaily[Adjusted close],MAX(1,$A704-50+1)):E704),"n.a.")))</f>
        <v/>
      </c>
      <c r="G704" s="166" t="str">
        <f>IF($A704&gt;MIN($A$10,$A$2),"",IF($A704&lt;200,"n.a.",IF(COUNT(INDEX(StockDaily[Adjusted close],MAX(1,$A704-200+1)):E704)=200,AVERAGE(INDEX(StockDaily[Adjusted close],MAX(1,$A704-200+1)):E704),"n.a.")))</f>
        <v/>
      </c>
      <c r="H704" s="136" t="str">
        <f>IF($A704&gt;MIN($A$10,$A$2),"",IF($A$5="","Choose stock",IF(NOT($A$12),"Check split rule",IF(NOT(ISNUMBER(B704)),"Invalid date",IF(OR(B704&lt;=0,B704&lt;&gt;INT(B704)),"Invalid date",IF(COUNTIFS(DemoHistory[Date],B704)&lt;&gt;1,"Duplicate date",IF(AND($A704&gt;1,B704&lt;=B703),"Dates out of order",IF(NOT(ISNUMBER(C704)),"Missing price",IF(C704&lt;=0,"Nonpositive price","OK")))))))))</f>
        <v/>
      </c>
      <c r="I704" s="136"/>
      <c r="J704" s="136"/>
      <c r="K704" s="136"/>
      <c r="L704" s="136"/>
      <c r="M704" s="136"/>
      <c r="N704" s="136" t="e">
        <f t="shared" si="31"/>
        <v>#N/A</v>
      </c>
      <c r="O704" s="136" t="e">
        <f t="shared" si="32"/>
        <v>#N/A</v>
      </c>
    </row>
    <row r="705" spans="1:15" ht="22.05" customHeight="1" x14ac:dyDescent="0.3">
      <c r="A705" s="136">
        <v>661</v>
      </c>
      <c r="B705" s="165" t="str">
        <f>IF($A705&gt;MIN($A$10,$A$2),"",INDEX(DemoHistory[Date],$A705))</f>
        <v/>
      </c>
      <c r="C705" s="166" t="str">
        <f>IF(OR($A705&gt;MIN($A$10,$A$2),$A$5=""),"",INDEX(DemoHistory[],$A705,MATCH($A$5,DemoHistory[#Headers],0)))</f>
        <v/>
      </c>
      <c r="D705" s="166" t="str">
        <f>IF($A705&gt;MIN($A$10,$A$2),"",IF(AND($A$12,$A$6=1,B705&lt;$A$7,$A$7&lt;=MAX(DemoHistory[Date])),$A$8,1))</f>
        <v/>
      </c>
      <c r="E705" s="166" t="str">
        <f t="shared" si="30"/>
        <v/>
      </c>
      <c r="F705" s="166" t="str">
        <f>IF($A705&gt;MIN($A$10,$A$2),"",IF($A705&lt;50,"n.a.",IF(COUNT(INDEX(StockDaily[Adjusted close],MAX(1,$A705-50+1)):E705)=50,AVERAGE(INDEX(StockDaily[Adjusted close],MAX(1,$A705-50+1)):E705),"n.a.")))</f>
        <v/>
      </c>
      <c r="G705" s="166" t="str">
        <f>IF($A705&gt;MIN($A$10,$A$2),"",IF($A705&lt;200,"n.a.",IF(COUNT(INDEX(StockDaily[Adjusted close],MAX(1,$A705-200+1)):E705)=200,AVERAGE(INDEX(StockDaily[Adjusted close],MAX(1,$A705-200+1)):E705),"n.a.")))</f>
        <v/>
      </c>
      <c r="H705" s="136" t="str">
        <f>IF($A705&gt;MIN($A$10,$A$2),"",IF($A$5="","Choose stock",IF(NOT($A$12),"Check split rule",IF(NOT(ISNUMBER(B705)),"Invalid date",IF(OR(B705&lt;=0,B705&lt;&gt;INT(B705)),"Invalid date",IF(COUNTIFS(DemoHistory[Date],B705)&lt;&gt;1,"Duplicate date",IF(AND($A705&gt;1,B705&lt;=B704),"Dates out of order",IF(NOT(ISNUMBER(C705)),"Missing price",IF(C705&lt;=0,"Nonpositive price","OK")))))))))</f>
        <v/>
      </c>
      <c r="I705" s="136"/>
      <c r="J705" s="136"/>
      <c r="K705" s="136"/>
      <c r="L705" s="136"/>
      <c r="M705" s="136"/>
      <c r="N705" s="136" t="e">
        <f t="shared" si="31"/>
        <v>#N/A</v>
      </c>
      <c r="O705" s="136" t="e">
        <f t="shared" si="32"/>
        <v>#N/A</v>
      </c>
    </row>
    <row r="706" spans="1:15" ht="22.05" customHeight="1" x14ac:dyDescent="0.3">
      <c r="A706" s="136">
        <v>662</v>
      </c>
      <c r="B706" s="165" t="str">
        <f>IF($A706&gt;MIN($A$10,$A$2),"",INDEX(DemoHistory[Date],$A706))</f>
        <v/>
      </c>
      <c r="C706" s="166" t="str">
        <f>IF(OR($A706&gt;MIN($A$10,$A$2),$A$5=""),"",INDEX(DemoHistory[],$A706,MATCH($A$5,DemoHistory[#Headers],0)))</f>
        <v/>
      </c>
      <c r="D706" s="166" t="str">
        <f>IF($A706&gt;MIN($A$10,$A$2),"",IF(AND($A$12,$A$6=1,B706&lt;$A$7,$A$7&lt;=MAX(DemoHistory[Date])),$A$8,1))</f>
        <v/>
      </c>
      <c r="E706" s="166" t="str">
        <f t="shared" si="30"/>
        <v/>
      </c>
      <c r="F706" s="166" t="str">
        <f>IF($A706&gt;MIN($A$10,$A$2),"",IF($A706&lt;50,"n.a.",IF(COUNT(INDEX(StockDaily[Adjusted close],MAX(1,$A706-50+1)):E706)=50,AVERAGE(INDEX(StockDaily[Adjusted close],MAX(1,$A706-50+1)):E706),"n.a.")))</f>
        <v/>
      </c>
      <c r="G706" s="166" t="str">
        <f>IF($A706&gt;MIN($A$10,$A$2),"",IF($A706&lt;200,"n.a.",IF(COUNT(INDEX(StockDaily[Adjusted close],MAX(1,$A706-200+1)):E706)=200,AVERAGE(INDEX(StockDaily[Adjusted close],MAX(1,$A706-200+1)):E706),"n.a.")))</f>
        <v/>
      </c>
      <c r="H706" s="136" t="str">
        <f>IF($A706&gt;MIN($A$10,$A$2),"",IF($A$5="","Choose stock",IF(NOT($A$12),"Check split rule",IF(NOT(ISNUMBER(B706)),"Invalid date",IF(OR(B706&lt;=0,B706&lt;&gt;INT(B706)),"Invalid date",IF(COUNTIFS(DemoHistory[Date],B706)&lt;&gt;1,"Duplicate date",IF(AND($A706&gt;1,B706&lt;=B705),"Dates out of order",IF(NOT(ISNUMBER(C706)),"Missing price",IF(C706&lt;=0,"Nonpositive price","OK")))))))))</f>
        <v/>
      </c>
      <c r="I706" s="136"/>
      <c r="J706" s="136"/>
      <c r="K706" s="136"/>
      <c r="L706" s="136"/>
      <c r="M706" s="136"/>
      <c r="N706" s="136" t="e">
        <f t="shared" si="31"/>
        <v>#N/A</v>
      </c>
      <c r="O706" s="136" t="e">
        <f t="shared" si="32"/>
        <v>#N/A</v>
      </c>
    </row>
    <row r="707" spans="1:15" ht="22.05" customHeight="1" x14ac:dyDescent="0.3">
      <c r="A707" s="136">
        <v>663</v>
      </c>
      <c r="B707" s="165" t="str">
        <f>IF($A707&gt;MIN($A$10,$A$2),"",INDEX(DemoHistory[Date],$A707))</f>
        <v/>
      </c>
      <c r="C707" s="166" t="str">
        <f>IF(OR($A707&gt;MIN($A$10,$A$2),$A$5=""),"",INDEX(DemoHistory[],$A707,MATCH($A$5,DemoHistory[#Headers],0)))</f>
        <v/>
      </c>
      <c r="D707" s="166" t="str">
        <f>IF($A707&gt;MIN($A$10,$A$2),"",IF(AND($A$12,$A$6=1,B707&lt;$A$7,$A$7&lt;=MAX(DemoHistory[Date])),$A$8,1))</f>
        <v/>
      </c>
      <c r="E707" s="166" t="str">
        <f t="shared" si="30"/>
        <v/>
      </c>
      <c r="F707" s="166" t="str">
        <f>IF($A707&gt;MIN($A$10,$A$2),"",IF($A707&lt;50,"n.a.",IF(COUNT(INDEX(StockDaily[Adjusted close],MAX(1,$A707-50+1)):E707)=50,AVERAGE(INDEX(StockDaily[Adjusted close],MAX(1,$A707-50+1)):E707),"n.a.")))</f>
        <v/>
      </c>
      <c r="G707" s="166" t="str">
        <f>IF($A707&gt;MIN($A$10,$A$2),"",IF($A707&lt;200,"n.a.",IF(COUNT(INDEX(StockDaily[Adjusted close],MAX(1,$A707-200+1)):E707)=200,AVERAGE(INDEX(StockDaily[Adjusted close],MAX(1,$A707-200+1)):E707),"n.a.")))</f>
        <v/>
      </c>
      <c r="H707" s="136" t="str">
        <f>IF($A707&gt;MIN($A$10,$A$2),"",IF($A$5="","Choose stock",IF(NOT($A$12),"Check split rule",IF(NOT(ISNUMBER(B707)),"Invalid date",IF(OR(B707&lt;=0,B707&lt;&gt;INT(B707)),"Invalid date",IF(COUNTIFS(DemoHistory[Date],B707)&lt;&gt;1,"Duplicate date",IF(AND($A707&gt;1,B707&lt;=B706),"Dates out of order",IF(NOT(ISNUMBER(C707)),"Missing price",IF(C707&lt;=0,"Nonpositive price","OK")))))))))</f>
        <v/>
      </c>
      <c r="I707" s="136"/>
      <c r="J707" s="136"/>
      <c r="K707" s="136"/>
      <c r="L707" s="136"/>
      <c r="M707" s="136"/>
      <c r="N707" s="136" t="e">
        <f t="shared" si="31"/>
        <v>#N/A</v>
      </c>
      <c r="O707" s="136" t="e">
        <f t="shared" si="32"/>
        <v>#N/A</v>
      </c>
    </row>
    <row r="708" spans="1:15" ht="22.05" customHeight="1" x14ac:dyDescent="0.3">
      <c r="A708" s="136">
        <v>664</v>
      </c>
      <c r="B708" s="165" t="str">
        <f>IF($A708&gt;MIN($A$10,$A$2),"",INDEX(DemoHistory[Date],$A708))</f>
        <v/>
      </c>
      <c r="C708" s="166" t="str">
        <f>IF(OR($A708&gt;MIN($A$10,$A$2),$A$5=""),"",INDEX(DemoHistory[],$A708,MATCH($A$5,DemoHistory[#Headers],0)))</f>
        <v/>
      </c>
      <c r="D708" s="166" t="str">
        <f>IF($A708&gt;MIN($A$10,$A$2),"",IF(AND($A$12,$A$6=1,B708&lt;$A$7,$A$7&lt;=MAX(DemoHistory[Date])),$A$8,1))</f>
        <v/>
      </c>
      <c r="E708" s="166" t="str">
        <f t="shared" si="30"/>
        <v/>
      </c>
      <c r="F708" s="166" t="str">
        <f>IF($A708&gt;MIN($A$10,$A$2),"",IF($A708&lt;50,"n.a.",IF(COUNT(INDEX(StockDaily[Adjusted close],MAX(1,$A708-50+1)):E708)=50,AVERAGE(INDEX(StockDaily[Adjusted close],MAX(1,$A708-50+1)):E708),"n.a.")))</f>
        <v/>
      </c>
      <c r="G708" s="166" t="str">
        <f>IF($A708&gt;MIN($A$10,$A$2),"",IF($A708&lt;200,"n.a.",IF(COUNT(INDEX(StockDaily[Adjusted close],MAX(1,$A708-200+1)):E708)=200,AVERAGE(INDEX(StockDaily[Adjusted close],MAX(1,$A708-200+1)):E708),"n.a.")))</f>
        <v/>
      </c>
      <c r="H708" s="136" t="str">
        <f>IF($A708&gt;MIN($A$10,$A$2),"",IF($A$5="","Choose stock",IF(NOT($A$12),"Check split rule",IF(NOT(ISNUMBER(B708)),"Invalid date",IF(OR(B708&lt;=0,B708&lt;&gt;INT(B708)),"Invalid date",IF(COUNTIFS(DemoHistory[Date],B708)&lt;&gt;1,"Duplicate date",IF(AND($A708&gt;1,B708&lt;=B707),"Dates out of order",IF(NOT(ISNUMBER(C708)),"Missing price",IF(C708&lt;=0,"Nonpositive price","OK")))))))))</f>
        <v/>
      </c>
      <c r="I708" s="136"/>
      <c r="J708" s="136"/>
      <c r="K708" s="136"/>
      <c r="L708" s="136"/>
      <c r="M708" s="136"/>
      <c r="N708" s="136" t="e">
        <f t="shared" si="31"/>
        <v>#N/A</v>
      </c>
      <c r="O708" s="136" t="e">
        <f t="shared" si="32"/>
        <v>#N/A</v>
      </c>
    </row>
    <row r="709" spans="1:15" ht="22.05" customHeight="1" x14ac:dyDescent="0.3">
      <c r="A709" s="136">
        <v>665</v>
      </c>
      <c r="B709" s="165" t="str">
        <f>IF($A709&gt;MIN($A$10,$A$2),"",INDEX(DemoHistory[Date],$A709))</f>
        <v/>
      </c>
      <c r="C709" s="166" t="str">
        <f>IF(OR($A709&gt;MIN($A$10,$A$2),$A$5=""),"",INDEX(DemoHistory[],$A709,MATCH($A$5,DemoHistory[#Headers],0)))</f>
        <v/>
      </c>
      <c r="D709" s="166" t="str">
        <f>IF($A709&gt;MIN($A$10,$A$2),"",IF(AND($A$12,$A$6=1,B709&lt;$A$7,$A$7&lt;=MAX(DemoHistory[Date])),$A$8,1))</f>
        <v/>
      </c>
      <c r="E709" s="166" t="str">
        <f t="shared" si="30"/>
        <v/>
      </c>
      <c r="F709" s="166" t="str">
        <f>IF($A709&gt;MIN($A$10,$A$2),"",IF($A709&lt;50,"n.a.",IF(COUNT(INDEX(StockDaily[Adjusted close],MAX(1,$A709-50+1)):E709)=50,AVERAGE(INDEX(StockDaily[Adjusted close],MAX(1,$A709-50+1)):E709),"n.a.")))</f>
        <v/>
      </c>
      <c r="G709" s="166" t="str">
        <f>IF($A709&gt;MIN($A$10,$A$2),"",IF($A709&lt;200,"n.a.",IF(COUNT(INDEX(StockDaily[Adjusted close],MAX(1,$A709-200+1)):E709)=200,AVERAGE(INDEX(StockDaily[Adjusted close],MAX(1,$A709-200+1)):E709),"n.a.")))</f>
        <v/>
      </c>
      <c r="H709" s="136" t="str">
        <f>IF($A709&gt;MIN($A$10,$A$2),"",IF($A$5="","Choose stock",IF(NOT($A$12),"Check split rule",IF(NOT(ISNUMBER(B709)),"Invalid date",IF(OR(B709&lt;=0,B709&lt;&gt;INT(B709)),"Invalid date",IF(COUNTIFS(DemoHistory[Date],B709)&lt;&gt;1,"Duplicate date",IF(AND($A709&gt;1,B709&lt;=B708),"Dates out of order",IF(NOT(ISNUMBER(C709)),"Missing price",IF(C709&lt;=0,"Nonpositive price","OK")))))))))</f>
        <v/>
      </c>
      <c r="I709" s="136"/>
      <c r="J709" s="136"/>
      <c r="K709" s="136"/>
      <c r="L709" s="136"/>
      <c r="M709" s="136"/>
      <c r="N709" s="136" t="e">
        <f t="shared" si="31"/>
        <v>#N/A</v>
      </c>
      <c r="O709" s="136" t="e">
        <f t="shared" si="32"/>
        <v>#N/A</v>
      </c>
    </row>
    <row r="710" spans="1:15" ht="22.05" customHeight="1" x14ac:dyDescent="0.3">
      <c r="A710" s="136">
        <v>666</v>
      </c>
      <c r="B710" s="165" t="str">
        <f>IF($A710&gt;MIN($A$10,$A$2),"",INDEX(DemoHistory[Date],$A710))</f>
        <v/>
      </c>
      <c r="C710" s="166" t="str">
        <f>IF(OR($A710&gt;MIN($A$10,$A$2),$A$5=""),"",INDEX(DemoHistory[],$A710,MATCH($A$5,DemoHistory[#Headers],0)))</f>
        <v/>
      </c>
      <c r="D710" s="166" t="str">
        <f>IF($A710&gt;MIN($A$10,$A$2),"",IF(AND($A$12,$A$6=1,B710&lt;$A$7,$A$7&lt;=MAX(DemoHistory[Date])),$A$8,1))</f>
        <v/>
      </c>
      <c r="E710" s="166" t="str">
        <f t="shared" si="30"/>
        <v/>
      </c>
      <c r="F710" s="166" t="str">
        <f>IF($A710&gt;MIN($A$10,$A$2),"",IF($A710&lt;50,"n.a.",IF(COUNT(INDEX(StockDaily[Adjusted close],MAX(1,$A710-50+1)):E710)=50,AVERAGE(INDEX(StockDaily[Adjusted close],MAX(1,$A710-50+1)):E710),"n.a.")))</f>
        <v/>
      </c>
      <c r="G710" s="166" t="str">
        <f>IF($A710&gt;MIN($A$10,$A$2),"",IF($A710&lt;200,"n.a.",IF(COUNT(INDEX(StockDaily[Adjusted close],MAX(1,$A710-200+1)):E710)=200,AVERAGE(INDEX(StockDaily[Adjusted close],MAX(1,$A710-200+1)):E710),"n.a.")))</f>
        <v/>
      </c>
      <c r="H710" s="136" t="str">
        <f>IF($A710&gt;MIN($A$10,$A$2),"",IF($A$5="","Choose stock",IF(NOT($A$12),"Check split rule",IF(NOT(ISNUMBER(B710)),"Invalid date",IF(OR(B710&lt;=0,B710&lt;&gt;INT(B710)),"Invalid date",IF(COUNTIFS(DemoHistory[Date],B710)&lt;&gt;1,"Duplicate date",IF(AND($A710&gt;1,B710&lt;=B709),"Dates out of order",IF(NOT(ISNUMBER(C710)),"Missing price",IF(C710&lt;=0,"Nonpositive price","OK")))))))))</f>
        <v/>
      </c>
      <c r="I710" s="136"/>
      <c r="J710" s="136"/>
      <c r="K710" s="136"/>
      <c r="L710" s="136"/>
      <c r="M710" s="136"/>
      <c r="N710" s="136" t="e">
        <f t="shared" si="31"/>
        <v>#N/A</v>
      </c>
      <c r="O710" s="136" t="e">
        <f t="shared" si="32"/>
        <v>#N/A</v>
      </c>
    </row>
    <row r="711" spans="1:15" ht="22.05" customHeight="1" x14ac:dyDescent="0.3">
      <c r="A711" s="136">
        <v>667</v>
      </c>
      <c r="B711" s="165" t="str">
        <f>IF($A711&gt;MIN($A$10,$A$2),"",INDEX(DemoHistory[Date],$A711))</f>
        <v/>
      </c>
      <c r="C711" s="166" t="str">
        <f>IF(OR($A711&gt;MIN($A$10,$A$2),$A$5=""),"",INDEX(DemoHistory[],$A711,MATCH($A$5,DemoHistory[#Headers],0)))</f>
        <v/>
      </c>
      <c r="D711" s="166" t="str">
        <f>IF($A711&gt;MIN($A$10,$A$2),"",IF(AND($A$12,$A$6=1,B711&lt;$A$7,$A$7&lt;=MAX(DemoHistory[Date])),$A$8,1))</f>
        <v/>
      </c>
      <c r="E711" s="166" t="str">
        <f t="shared" si="30"/>
        <v/>
      </c>
      <c r="F711" s="166" t="str">
        <f>IF($A711&gt;MIN($A$10,$A$2),"",IF($A711&lt;50,"n.a.",IF(COUNT(INDEX(StockDaily[Adjusted close],MAX(1,$A711-50+1)):E711)=50,AVERAGE(INDEX(StockDaily[Adjusted close],MAX(1,$A711-50+1)):E711),"n.a.")))</f>
        <v/>
      </c>
      <c r="G711" s="166" t="str">
        <f>IF($A711&gt;MIN($A$10,$A$2),"",IF($A711&lt;200,"n.a.",IF(COUNT(INDEX(StockDaily[Adjusted close],MAX(1,$A711-200+1)):E711)=200,AVERAGE(INDEX(StockDaily[Adjusted close],MAX(1,$A711-200+1)):E711),"n.a.")))</f>
        <v/>
      </c>
      <c r="H711" s="136" t="str">
        <f>IF($A711&gt;MIN($A$10,$A$2),"",IF($A$5="","Choose stock",IF(NOT($A$12),"Check split rule",IF(NOT(ISNUMBER(B711)),"Invalid date",IF(OR(B711&lt;=0,B711&lt;&gt;INT(B711)),"Invalid date",IF(COUNTIFS(DemoHistory[Date],B711)&lt;&gt;1,"Duplicate date",IF(AND($A711&gt;1,B711&lt;=B710),"Dates out of order",IF(NOT(ISNUMBER(C711)),"Missing price",IF(C711&lt;=0,"Nonpositive price","OK")))))))))</f>
        <v/>
      </c>
      <c r="I711" s="136"/>
      <c r="J711" s="136"/>
      <c r="K711" s="136"/>
      <c r="L711" s="136"/>
      <c r="M711" s="136"/>
      <c r="N711" s="136" t="e">
        <f t="shared" si="31"/>
        <v>#N/A</v>
      </c>
      <c r="O711" s="136" t="e">
        <f t="shared" si="32"/>
        <v>#N/A</v>
      </c>
    </row>
    <row r="712" spans="1:15" ht="22.05" customHeight="1" x14ac:dyDescent="0.3">
      <c r="A712" s="136">
        <v>668</v>
      </c>
      <c r="B712" s="165" t="str">
        <f>IF($A712&gt;MIN($A$10,$A$2),"",INDEX(DemoHistory[Date],$A712))</f>
        <v/>
      </c>
      <c r="C712" s="166" t="str">
        <f>IF(OR($A712&gt;MIN($A$10,$A$2),$A$5=""),"",INDEX(DemoHistory[],$A712,MATCH($A$5,DemoHistory[#Headers],0)))</f>
        <v/>
      </c>
      <c r="D712" s="166" t="str">
        <f>IF($A712&gt;MIN($A$10,$A$2),"",IF(AND($A$12,$A$6=1,B712&lt;$A$7,$A$7&lt;=MAX(DemoHistory[Date])),$A$8,1))</f>
        <v/>
      </c>
      <c r="E712" s="166" t="str">
        <f t="shared" si="30"/>
        <v/>
      </c>
      <c r="F712" s="166" t="str">
        <f>IF($A712&gt;MIN($A$10,$A$2),"",IF($A712&lt;50,"n.a.",IF(COUNT(INDEX(StockDaily[Adjusted close],MAX(1,$A712-50+1)):E712)=50,AVERAGE(INDEX(StockDaily[Adjusted close],MAX(1,$A712-50+1)):E712),"n.a.")))</f>
        <v/>
      </c>
      <c r="G712" s="166" t="str">
        <f>IF($A712&gt;MIN($A$10,$A$2),"",IF($A712&lt;200,"n.a.",IF(COUNT(INDEX(StockDaily[Adjusted close],MAX(1,$A712-200+1)):E712)=200,AVERAGE(INDEX(StockDaily[Adjusted close],MAX(1,$A712-200+1)):E712),"n.a.")))</f>
        <v/>
      </c>
      <c r="H712" s="136" t="str">
        <f>IF($A712&gt;MIN($A$10,$A$2),"",IF($A$5="","Choose stock",IF(NOT($A$12),"Check split rule",IF(NOT(ISNUMBER(B712)),"Invalid date",IF(OR(B712&lt;=0,B712&lt;&gt;INT(B712)),"Invalid date",IF(COUNTIFS(DemoHistory[Date],B712)&lt;&gt;1,"Duplicate date",IF(AND($A712&gt;1,B712&lt;=B711),"Dates out of order",IF(NOT(ISNUMBER(C712)),"Missing price",IF(C712&lt;=0,"Nonpositive price","OK")))))))))</f>
        <v/>
      </c>
      <c r="I712" s="136"/>
      <c r="J712" s="136"/>
      <c r="K712" s="136"/>
      <c r="L712" s="136"/>
      <c r="M712" s="136"/>
      <c r="N712" s="136" t="e">
        <f t="shared" si="31"/>
        <v>#N/A</v>
      </c>
      <c r="O712" s="136" t="e">
        <f t="shared" si="32"/>
        <v>#N/A</v>
      </c>
    </row>
    <row r="713" spans="1:15" ht="22.05" customHeight="1" x14ac:dyDescent="0.3">
      <c r="A713" s="136">
        <v>669</v>
      </c>
      <c r="B713" s="165" t="str">
        <f>IF($A713&gt;MIN($A$10,$A$2),"",INDEX(DemoHistory[Date],$A713))</f>
        <v/>
      </c>
      <c r="C713" s="166" t="str">
        <f>IF(OR($A713&gt;MIN($A$10,$A$2),$A$5=""),"",INDEX(DemoHistory[],$A713,MATCH($A$5,DemoHistory[#Headers],0)))</f>
        <v/>
      </c>
      <c r="D713" s="166" t="str">
        <f>IF($A713&gt;MIN($A$10,$A$2),"",IF(AND($A$12,$A$6=1,B713&lt;$A$7,$A$7&lt;=MAX(DemoHistory[Date])),$A$8,1))</f>
        <v/>
      </c>
      <c r="E713" s="166" t="str">
        <f t="shared" si="30"/>
        <v/>
      </c>
      <c r="F713" s="166" t="str">
        <f>IF($A713&gt;MIN($A$10,$A$2),"",IF($A713&lt;50,"n.a.",IF(COUNT(INDEX(StockDaily[Adjusted close],MAX(1,$A713-50+1)):E713)=50,AVERAGE(INDEX(StockDaily[Adjusted close],MAX(1,$A713-50+1)):E713),"n.a.")))</f>
        <v/>
      </c>
      <c r="G713" s="166" t="str">
        <f>IF($A713&gt;MIN($A$10,$A$2),"",IF($A713&lt;200,"n.a.",IF(COUNT(INDEX(StockDaily[Adjusted close],MAX(1,$A713-200+1)):E713)=200,AVERAGE(INDEX(StockDaily[Adjusted close],MAX(1,$A713-200+1)):E713),"n.a.")))</f>
        <v/>
      </c>
      <c r="H713" s="136" t="str">
        <f>IF($A713&gt;MIN($A$10,$A$2),"",IF($A$5="","Choose stock",IF(NOT($A$12),"Check split rule",IF(NOT(ISNUMBER(B713)),"Invalid date",IF(OR(B713&lt;=0,B713&lt;&gt;INT(B713)),"Invalid date",IF(COUNTIFS(DemoHistory[Date],B713)&lt;&gt;1,"Duplicate date",IF(AND($A713&gt;1,B713&lt;=B712),"Dates out of order",IF(NOT(ISNUMBER(C713)),"Missing price",IF(C713&lt;=0,"Nonpositive price","OK")))))))))</f>
        <v/>
      </c>
      <c r="I713" s="136"/>
      <c r="J713" s="136"/>
      <c r="K713" s="136"/>
      <c r="L713" s="136"/>
      <c r="M713" s="136"/>
      <c r="N713" s="136" t="e">
        <f t="shared" si="31"/>
        <v>#N/A</v>
      </c>
      <c r="O713" s="136" t="e">
        <f t="shared" si="32"/>
        <v>#N/A</v>
      </c>
    </row>
    <row r="714" spans="1:15" ht="22.05" customHeight="1" x14ac:dyDescent="0.3">
      <c r="A714" s="136">
        <v>670</v>
      </c>
      <c r="B714" s="165" t="str">
        <f>IF($A714&gt;MIN($A$10,$A$2),"",INDEX(DemoHistory[Date],$A714))</f>
        <v/>
      </c>
      <c r="C714" s="166" t="str">
        <f>IF(OR($A714&gt;MIN($A$10,$A$2),$A$5=""),"",INDEX(DemoHistory[],$A714,MATCH($A$5,DemoHistory[#Headers],0)))</f>
        <v/>
      </c>
      <c r="D714" s="166" t="str">
        <f>IF($A714&gt;MIN($A$10,$A$2),"",IF(AND($A$12,$A$6=1,B714&lt;$A$7,$A$7&lt;=MAX(DemoHistory[Date])),$A$8,1))</f>
        <v/>
      </c>
      <c r="E714" s="166" t="str">
        <f t="shared" si="30"/>
        <v/>
      </c>
      <c r="F714" s="166" t="str">
        <f>IF($A714&gt;MIN($A$10,$A$2),"",IF($A714&lt;50,"n.a.",IF(COUNT(INDEX(StockDaily[Adjusted close],MAX(1,$A714-50+1)):E714)=50,AVERAGE(INDEX(StockDaily[Adjusted close],MAX(1,$A714-50+1)):E714),"n.a.")))</f>
        <v/>
      </c>
      <c r="G714" s="166" t="str">
        <f>IF($A714&gt;MIN($A$10,$A$2),"",IF($A714&lt;200,"n.a.",IF(COUNT(INDEX(StockDaily[Adjusted close],MAX(1,$A714-200+1)):E714)=200,AVERAGE(INDEX(StockDaily[Adjusted close],MAX(1,$A714-200+1)):E714),"n.a.")))</f>
        <v/>
      </c>
      <c r="H714" s="136" t="str">
        <f>IF($A714&gt;MIN($A$10,$A$2),"",IF($A$5="","Choose stock",IF(NOT($A$12),"Check split rule",IF(NOT(ISNUMBER(B714)),"Invalid date",IF(OR(B714&lt;=0,B714&lt;&gt;INT(B714)),"Invalid date",IF(COUNTIFS(DemoHistory[Date],B714)&lt;&gt;1,"Duplicate date",IF(AND($A714&gt;1,B714&lt;=B713),"Dates out of order",IF(NOT(ISNUMBER(C714)),"Missing price",IF(C714&lt;=0,"Nonpositive price","OK")))))))))</f>
        <v/>
      </c>
      <c r="I714" s="136"/>
      <c r="J714" s="136"/>
      <c r="K714" s="136"/>
      <c r="L714" s="136"/>
      <c r="M714" s="136"/>
      <c r="N714" s="136" t="e">
        <f t="shared" si="31"/>
        <v>#N/A</v>
      </c>
      <c r="O714" s="136" t="e">
        <f t="shared" si="32"/>
        <v>#N/A</v>
      </c>
    </row>
    <row r="715" spans="1:15" ht="22.05" customHeight="1" x14ac:dyDescent="0.3">
      <c r="A715" s="136">
        <v>671</v>
      </c>
      <c r="B715" s="165" t="str">
        <f>IF($A715&gt;MIN($A$10,$A$2),"",INDEX(DemoHistory[Date],$A715))</f>
        <v/>
      </c>
      <c r="C715" s="166" t="str">
        <f>IF(OR($A715&gt;MIN($A$10,$A$2),$A$5=""),"",INDEX(DemoHistory[],$A715,MATCH($A$5,DemoHistory[#Headers],0)))</f>
        <v/>
      </c>
      <c r="D715" s="166" t="str">
        <f>IF($A715&gt;MIN($A$10,$A$2),"",IF(AND($A$12,$A$6=1,B715&lt;$A$7,$A$7&lt;=MAX(DemoHistory[Date])),$A$8,1))</f>
        <v/>
      </c>
      <c r="E715" s="166" t="str">
        <f t="shared" si="30"/>
        <v/>
      </c>
      <c r="F715" s="166" t="str">
        <f>IF($A715&gt;MIN($A$10,$A$2),"",IF($A715&lt;50,"n.a.",IF(COUNT(INDEX(StockDaily[Adjusted close],MAX(1,$A715-50+1)):E715)=50,AVERAGE(INDEX(StockDaily[Adjusted close],MAX(1,$A715-50+1)):E715),"n.a.")))</f>
        <v/>
      </c>
      <c r="G715" s="166" t="str">
        <f>IF($A715&gt;MIN($A$10,$A$2),"",IF($A715&lt;200,"n.a.",IF(COUNT(INDEX(StockDaily[Adjusted close],MAX(1,$A715-200+1)):E715)=200,AVERAGE(INDEX(StockDaily[Adjusted close],MAX(1,$A715-200+1)):E715),"n.a.")))</f>
        <v/>
      </c>
      <c r="H715" s="136" t="str">
        <f>IF($A715&gt;MIN($A$10,$A$2),"",IF($A$5="","Choose stock",IF(NOT($A$12),"Check split rule",IF(NOT(ISNUMBER(B715)),"Invalid date",IF(OR(B715&lt;=0,B715&lt;&gt;INT(B715)),"Invalid date",IF(COUNTIFS(DemoHistory[Date],B715)&lt;&gt;1,"Duplicate date",IF(AND($A715&gt;1,B715&lt;=B714),"Dates out of order",IF(NOT(ISNUMBER(C715)),"Missing price",IF(C715&lt;=0,"Nonpositive price","OK")))))))))</f>
        <v/>
      </c>
      <c r="I715" s="136"/>
      <c r="J715" s="136"/>
      <c r="K715" s="136"/>
      <c r="L715" s="136"/>
      <c r="M715" s="136"/>
      <c r="N715" s="136" t="e">
        <f t="shared" si="31"/>
        <v>#N/A</v>
      </c>
      <c r="O715" s="136" t="e">
        <f t="shared" si="32"/>
        <v>#N/A</v>
      </c>
    </row>
    <row r="716" spans="1:15" ht="22.05" customHeight="1" x14ac:dyDescent="0.3">
      <c r="A716" s="136">
        <v>672</v>
      </c>
      <c r="B716" s="165" t="str">
        <f>IF($A716&gt;MIN($A$10,$A$2),"",INDEX(DemoHistory[Date],$A716))</f>
        <v/>
      </c>
      <c r="C716" s="166" t="str">
        <f>IF(OR($A716&gt;MIN($A$10,$A$2),$A$5=""),"",INDEX(DemoHistory[],$A716,MATCH($A$5,DemoHistory[#Headers],0)))</f>
        <v/>
      </c>
      <c r="D716" s="166" t="str">
        <f>IF($A716&gt;MIN($A$10,$A$2),"",IF(AND($A$12,$A$6=1,B716&lt;$A$7,$A$7&lt;=MAX(DemoHistory[Date])),$A$8,1))</f>
        <v/>
      </c>
      <c r="E716" s="166" t="str">
        <f t="shared" si="30"/>
        <v/>
      </c>
      <c r="F716" s="166" t="str">
        <f>IF($A716&gt;MIN($A$10,$A$2),"",IF($A716&lt;50,"n.a.",IF(COUNT(INDEX(StockDaily[Adjusted close],MAX(1,$A716-50+1)):E716)=50,AVERAGE(INDEX(StockDaily[Adjusted close],MAX(1,$A716-50+1)):E716),"n.a.")))</f>
        <v/>
      </c>
      <c r="G716" s="166" t="str">
        <f>IF($A716&gt;MIN($A$10,$A$2),"",IF($A716&lt;200,"n.a.",IF(COUNT(INDEX(StockDaily[Adjusted close],MAX(1,$A716-200+1)):E716)=200,AVERAGE(INDEX(StockDaily[Adjusted close],MAX(1,$A716-200+1)):E716),"n.a.")))</f>
        <v/>
      </c>
      <c r="H716" s="136" t="str">
        <f>IF($A716&gt;MIN($A$10,$A$2),"",IF($A$5="","Choose stock",IF(NOT($A$12),"Check split rule",IF(NOT(ISNUMBER(B716)),"Invalid date",IF(OR(B716&lt;=0,B716&lt;&gt;INT(B716)),"Invalid date",IF(COUNTIFS(DemoHistory[Date],B716)&lt;&gt;1,"Duplicate date",IF(AND($A716&gt;1,B716&lt;=B715),"Dates out of order",IF(NOT(ISNUMBER(C716)),"Missing price",IF(C716&lt;=0,"Nonpositive price","OK")))))))))</f>
        <v/>
      </c>
      <c r="I716" s="136"/>
      <c r="J716" s="136"/>
      <c r="K716" s="136"/>
      <c r="L716" s="136"/>
      <c r="M716" s="136"/>
      <c r="N716" s="136" t="e">
        <f t="shared" si="31"/>
        <v>#N/A</v>
      </c>
      <c r="O716" s="136" t="e">
        <f t="shared" si="32"/>
        <v>#N/A</v>
      </c>
    </row>
    <row r="717" spans="1:15" ht="22.05" customHeight="1" x14ac:dyDescent="0.3">
      <c r="A717" s="136">
        <v>673</v>
      </c>
      <c r="B717" s="165" t="str">
        <f>IF($A717&gt;MIN($A$10,$A$2),"",INDEX(DemoHistory[Date],$A717))</f>
        <v/>
      </c>
      <c r="C717" s="166" t="str">
        <f>IF(OR($A717&gt;MIN($A$10,$A$2),$A$5=""),"",INDEX(DemoHistory[],$A717,MATCH($A$5,DemoHistory[#Headers],0)))</f>
        <v/>
      </c>
      <c r="D717" s="166" t="str">
        <f>IF($A717&gt;MIN($A$10,$A$2),"",IF(AND($A$12,$A$6=1,B717&lt;$A$7,$A$7&lt;=MAX(DemoHistory[Date])),$A$8,1))</f>
        <v/>
      </c>
      <c r="E717" s="166" t="str">
        <f t="shared" si="30"/>
        <v/>
      </c>
      <c r="F717" s="166" t="str">
        <f>IF($A717&gt;MIN($A$10,$A$2),"",IF($A717&lt;50,"n.a.",IF(COUNT(INDEX(StockDaily[Adjusted close],MAX(1,$A717-50+1)):E717)=50,AVERAGE(INDEX(StockDaily[Adjusted close],MAX(1,$A717-50+1)):E717),"n.a.")))</f>
        <v/>
      </c>
      <c r="G717" s="166" t="str">
        <f>IF($A717&gt;MIN($A$10,$A$2),"",IF($A717&lt;200,"n.a.",IF(COUNT(INDEX(StockDaily[Adjusted close],MAX(1,$A717-200+1)):E717)=200,AVERAGE(INDEX(StockDaily[Adjusted close],MAX(1,$A717-200+1)):E717),"n.a.")))</f>
        <v/>
      </c>
      <c r="H717" s="136" t="str">
        <f>IF($A717&gt;MIN($A$10,$A$2),"",IF($A$5="","Choose stock",IF(NOT($A$12),"Check split rule",IF(NOT(ISNUMBER(B717)),"Invalid date",IF(OR(B717&lt;=0,B717&lt;&gt;INT(B717)),"Invalid date",IF(COUNTIFS(DemoHistory[Date],B717)&lt;&gt;1,"Duplicate date",IF(AND($A717&gt;1,B717&lt;=B716),"Dates out of order",IF(NOT(ISNUMBER(C717)),"Missing price",IF(C717&lt;=0,"Nonpositive price","OK")))))))))</f>
        <v/>
      </c>
      <c r="I717" s="136"/>
      <c r="J717" s="136"/>
      <c r="K717" s="136"/>
      <c r="L717" s="136"/>
      <c r="M717" s="136"/>
      <c r="N717" s="136" t="e">
        <f t="shared" si="31"/>
        <v>#N/A</v>
      </c>
      <c r="O717" s="136" t="e">
        <f t="shared" si="32"/>
        <v>#N/A</v>
      </c>
    </row>
    <row r="718" spans="1:15" ht="22.05" customHeight="1" x14ac:dyDescent="0.3">
      <c r="A718" s="136">
        <v>674</v>
      </c>
      <c r="B718" s="165" t="str">
        <f>IF($A718&gt;MIN($A$10,$A$2),"",INDEX(DemoHistory[Date],$A718))</f>
        <v/>
      </c>
      <c r="C718" s="166" t="str">
        <f>IF(OR($A718&gt;MIN($A$10,$A$2),$A$5=""),"",INDEX(DemoHistory[],$A718,MATCH($A$5,DemoHistory[#Headers],0)))</f>
        <v/>
      </c>
      <c r="D718" s="166" t="str">
        <f>IF($A718&gt;MIN($A$10,$A$2),"",IF(AND($A$12,$A$6=1,B718&lt;$A$7,$A$7&lt;=MAX(DemoHistory[Date])),$A$8,1))</f>
        <v/>
      </c>
      <c r="E718" s="166" t="str">
        <f t="shared" si="30"/>
        <v/>
      </c>
      <c r="F718" s="166" t="str">
        <f>IF($A718&gt;MIN($A$10,$A$2),"",IF($A718&lt;50,"n.a.",IF(COUNT(INDEX(StockDaily[Adjusted close],MAX(1,$A718-50+1)):E718)=50,AVERAGE(INDEX(StockDaily[Adjusted close],MAX(1,$A718-50+1)):E718),"n.a.")))</f>
        <v/>
      </c>
      <c r="G718" s="166" t="str">
        <f>IF($A718&gt;MIN($A$10,$A$2),"",IF($A718&lt;200,"n.a.",IF(COUNT(INDEX(StockDaily[Adjusted close],MAX(1,$A718-200+1)):E718)=200,AVERAGE(INDEX(StockDaily[Adjusted close],MAX(1,$A718-200+1)):E718),"n.a.")))</f>
        <v/>
      </c>
      <c r="H718" s="136" t="str">
        <f>IF($A718&gt;MIN($A$10,$A$2),"",IF($A$5="","Choose stock",IF(NOT($A$12),"Check split rule",IF(NOT(ISNUMBER(B718)),"Invalid date",IF(OR(B718&lt;=0,B718&lt;&gt;INT(B718)),"Invalid date",IF(COUNTIFS(DemoHistory[Date],B718)&lt;&gt;1,"Duplicate date",IF(AND($A718&gt;1,B718&lt;=B717),"Dates out of order",IF(NOT(ISNUMBER(C718)),"Missing price",IF(C718&lt;=0,"Nonpositive price","OK")))))))))</f>
        <v/>
      </c>
      <c r="I718" s="136"/>
      <c r="J718" s="136"/>
      <c r="K718" s="136"/>
      <c r="L718" s="136"/>
      <c r="M718" s="136"/>
      <c r="N718" s="136" t="e">
        <f t="shared" si="31"/>
        <v>#N/A</v>
      </c>
      <c r="O718" s="136" t="e">
        <f t="shared" si="32"/>
        <v>#N/A</v>
      </c>
    </row>
    <row r="719" spans="1:15" ht="22.05" customHeight="1" x14ac:dyDescent="0.3">
      <c r="A719" s="136">
        <v>675</v>
      </c>
      <c r="B719" s="165" t="str">
        <f>IF($A719&gt;MIN($A$10,$A$2),"",INDEX(DemoHistory[Date],$A719))</f>
        <v/>
      </c>
      <c r="C719" s="166" t="str">
        <f>IF(OR($A719&gt;MIN($A$10,$A$2),$A$5=""),"",INDEX(DemoHistory[],$A719,MATCH($A$5,DemoHistory[#Headers],0)))</f>
        <v/>
      </c>
      <c r="D719" s="166" t="str">
        <f>IF($A719&gt;MIN($A$10,$A$2),"",IF(AND($A$12,$A$6=1,B719&lt;$A$7,$A$7&lt;=MAX(DemoHistory[Date])),$A$8,1))</f>
        <v/>
      </c>
      <c r="E719" s="166" t="str">
        <f t="shared" si="30"/>
        <v/>
      </c>
      <c r="F719" s="166" t="str">
        <f>IF($A719&gt;MIN($A$10,$A$2),"",IF($A719&lt;50,"n.a.",IF(COUNT(INDEX(StockDaily[Adjusted close],MAX(1,$A719-50+1)):E719)=50,AVERAGE(INDEX(StockDaily[Adjusted close],MAX(1,$A719-50+1)):E719),"n.a.")))</f>
        <v/>
      </c>
      <c r="G719" s="166" t="str">
        <f>IF($A719&gt;MIN($A$10,$A$2),"",IF($A719&lt;200,"n.a.",IF(COUNT(INDEX(StockDaily[Adjusted close],MAX(1,$A719-200+1)):E719)=200,AVERAGE(INDEX(StockDaily[Adjusted close],MAX(1,$A719-200+1)):E719),"n.a.")))</f>
        <v/>
      </c>
      <c r="H719" s="136" t="str">
        <f>IF($A719&gt;MIN($A$10,$A$2),"",IF($A$5="","Choose stock",IF(NOT($A$12),"Check split rule",IF(NOT(ISNUMBER(B719)),"Invalid date",IF(OR(B719&lt;=0,B719&lt;&gt;INT(B719)),"Invalid date",IF(COUNTIFS(DemoHistory[Date],B719)&lt;&gt;1,"Duplicate date",IF(AND($A719&gt;1,B719&lt;=B718),"Dates out of order",IF(NOT(ISNUMBER(C719)),"Missing price",IF(C719&lt;=0,"Nonpositive price","OK")))))))))</f>
        <v/>
      </c>
      <c r="I719" s="136"/>
      <c r="J719" s="136"/>
      <c r="K719" s="136"/>
      <c r="L719" s="136"/>
      <c r="M719" s="136"/>
      <c r="N719" s="136" t="e">
        <f t="shared" si="31"/>
        <v>#N/A</v>
      </c>
      <c r="O719" s="136" t="e">
        <f t="shared" si="32"/>
        <v>#N/A</v>
      </c>
    </row>
    <row r="720" spans="1:15" ht="22.05" customHeight="1" x14ac:dyDescent="0.3">
      <c r="A720" s="136">
        <v>676</v>
      </c>
      <c r="B720" s="165" t="str">
        <f>IF($A720&gt;MIN($A$10,$A$2),"",INDEX(DemoHistory[Date],$A720))</f>
        <v/>
      </c>
      <c r="C720" s="166" t="str">
        <f>IF(OR($A720&gt;MIN($A$10,$A$2),$A$5=""),"",INDEX(DemoHistory[],$A720,MATCH($A$5,DemoHistory[#Headers],0)))</f>
        <v/>
      </c>
      <c r="D720" s="166" t="str">
        <f>IF($A720&gt;MIN($A$10,$A$2),"",IF(AND($A$12,$A$6=1,B720&lt;$A$7,$A$7&lt;=MAX(DemoHistory[Date])),$A$8,1))</f>
        <v/>
      </c>
      <c r="E720" s="166" t="str">
        <f t="shared" si="30"/>
        <v/>
      </c>
      <c r="F720" s="166" t="str">
        <f>IF($A720&gt;MIN($A$10,$A$2),"",IF($A720&lt;50,"n.a.",IF(COUNT(INDEX(StockDaily[Adjusted close],MAX(1,$A720-50+1)):E720)=50,AVERAGE(INDEX(StockDaily[Adjusted close],MAX(1,$A720-50+1)):E720),"n.a.")))</f>
        <v/>
      </c>
      <c r="G720" s="166" t="str">
        <f>IF($A720&gt;MIN($A$10,$A$2),"",IF($A720&lt;200,"n.a.",IF(COUNT(INDEX(StockDaily[Adjusted close],MAX(1,$A720-200+1)):E720)=200,AVERAGE(INDEX(StockDaily[Adjusted close],MAX(1,$A720-200+1)):E720),"n.a.")))</f>
        <v/>
      </c>
      <c r="H720" s="136" t="str">
        <f>IF($A720&gt;MIN($A$10,$A$2),"",IF($A$5="","Choose stock",IF(NOT($A$12),"Check split rule",IF(NOT(ISNUMBER(B720)),"Invalid date",IF(OR(B720&lt;=0,B720&lt;&gt;INT(B720)),"Invalid date",IF(COUNTIFS(DemoHistory[Date],B720)&lt;&gt;1,"Duplicate date",IF(AND($A720&gt;1,B720&lt;=B719),"Dates out of order",IF(NOT(ISNUMBER(C720)),"Missing price",IF(C720&lt;=0,"Nonpositive price","OK")))))))))</f>
        <v/>
      </c>
      <c r="I720" s="136"/>
      <c r="J720" s="136"/>
      <c r="K720" s="136"/>
      <c r="L720" s="136"/>
      <c r="M720" s="136"/>
      <c r="N720" s="136" t="e">
        <f t="shared" si="31"/>
        <v>#N/A</v>
      </c>
      <c r="O720" s="136" t="e">
        <f t="shared" si="32"/>
        <v>#N/A</v>
      </c>
    </row>
    <row r="721" spans="1:15" ht="22.05" customHeight="1" x14ac:dyDescent="0.3">
      <c r="A721" s="136">
        <v>677</v>
      </c>
      <c r="B721" s="165" t="str">
        <f>IF($A721&gt;MIN($A$10,$A$2),"",INDEX(DemoHistory[Date],$A721))</f>
        <v/>
      </c>
      <c r="C721" s="166" t="str">
        <f>IF(OR($A721&gt;MIN($A$10,$A$2),$A$5=""),"",INDEX(DemoHistory[],$A721,MATCH($A$5,DemoHistory[#Headers],0)))</f>
        <v/>
      </c>
      <c r="D721" s="166" t="str">
        <f>IF($A721&gt;MIN($A$10,$A$2),"",IF(AND($A$12,$A$6=1,B721&lt;$A$7,$A$7&lt;=MAX(DemoHistory[Date])),$A$8,1))</f>
        <v/>
      </c>
      <c r="E721" s="166" t="str">
        <f t="shared" si="30"/>
        <v/>
      </c>
      <c r="F721" s="166" t="str">
        <f>IF($A721&gt;MIN($A$10,$A$2),"",IF($A721&lt;50,"n.a.",IF(COUNT(INDEX(StockDaily[Adjusted close],MAX(1,$A721-50+1)):E721)=50,AVERAGE(INDEX(StockDaily[Adjusted close],MAX(1,$A721-50+1)):E721),"n.a.")))</f>
        <v/>
      </c>
      <c r="G721" s="166" t="str">
        <f>IF($A721&gt;MIN($A$10,$A$2),"",IF($A721&lt;200,"n.a.",IF(COUNT(INDEX(StockDaily[Adjusted close],MAX(1,$A721-200+1)):E721)=200,AVERAGE(INDEX(StockDaily[Adjusted close],MAX(1,$A721-200+1)):E721),"n.a.")))</f>
        <v/>
      </c>
      <c r="H721" s="136" t="str">
        <f>IF($A721&gt;MIN($A$10,$A$2),"",IF($A$5="","Choose stock",IF(NOT($A$12),"Check split rule",IF(NOT(ISNUMBER(B721)),"Invalid date",IF(OR(B721&lt;=0,B721&lt;&gt;INT(B721)),"Invalid date",IF(COUNTIFS(DemoHistory[Date],B721)&lt;&gt;1,"Duplicate date",IF(AND($A721&gt;1,B721&lt;=B720),"Dates out of order",IF(NOT(ISNUMBER(C721)),"Missing price",IF(C721&lt;=0,"Nonpositive price","OK")))))))))</f>
        <v/>
      </c>
      <c r="I721" s="136"/>
      <c r="J721" s="136"/>
      <c r="K721" s="136"/>
      <c r="L721" s="136"/>
      <c r="M721" s="136"/>
      <c r="N721" s="136" t="e">
        <f t="shared" si="31"/>
        <v>#N/A</v>
      </c>
      <c r="O721" s="136" t="e">
        <f t="shared" si="32"/>
        <v>#N/A</v>
      </c>
    </row>
    <row r="722" spans="1:15" ht="22.05" customHeight="1" x14ac:dyDescent="0.3">
      <c r="A722" s="136">
        <v>678</v>
      </c>
      <c r="B722" s="165" t="str">
        <f>IF($A722&gt;MIN($A$10,$A$2),"",INDEX(DemoHistory[Date],$A722))</f>
        <v/>
      </c>
      <c r="C722" s="166" t="str">
        <f>IF(OR($A722&gt;MIN($A$10,$A$2),$A$5=""),"",INDEX(DemoHistory[],$A722,MATCH($A$5,DemoHistory[#Headers],0)))</f>
        <v/>
      </c>
      <c r="D722" s="166" t="str">
        <f>IF($A722&gt;MIN($A$10,$A$2),"",IF(AND($A$12,$A$6=1,B722&lt;$A$7,$A$7&lt;=MAX(DemoHistory[Date])),$A$8,1))</f>
        <v/>
      </c>
      <c r="E722" s="166" t="str">
        <f t="shared" si="30"/>
        <v/>
      </c>
      <c r="F722" s="166" t="str">
        <f>IF($A722&gt;MIN($A$10,$A$2),"",IF($A722&lt;50,"n.a.",IF(COUNT(INDEX(StockDaily[Adjusted close],MAX(1,$A722-50+1)):E722)=50,AVERAGE(INDEX(StockDaily[Adjusted close],MAX(1,$A722-50+1)):E722),"n.a.")))</f>
        <v/>
      </c>
      <c r="G722" s="166" t="str">
        <f>IF($A722&gt;MIN($A$10,$A$2),"",IF($A722&lt;200,"n.a.",IF(COUNT(INDEX(StockDaily[Adjusted close],MAX(1,$A722-200+1)):E722)=200,AVERAGE(INDEX(StockDaily[Adjusted close],MAX(1,$A722-200+1)):E722),"n.a.")))</f>
        <v/>
      </c>
      <c r="H722" s="136" t="str">
        <f>IF($A722&gt;MIN($A$10,$A$2),"",IF($A$5="","Choose stock",IF(NOT($A$12),"Check split rule",IF(NOT(ISNUMBER(B722)),"Invalid date",IF(OR(B722&lt;=0,B722&lt;&gt;INT(B722)),"Invalid date",IF(COUNTIFS(DemoHistory[Date],B722)&lt;&gt;1,"Duplicate date",IF(AND($A722&gt;1,B722&lt;=B721),"Dates out of order",IF(NOT(ISNUMBER(C722)),"Missing price",IF(C722&lt;=0,"Nonpositive price","OK")))))))))</f>
        <v/>
      </c>
      <c r="I722" s="136"/>
      <c r="J722" s="136"/>
      <c r="K722" s="136"/>
      <c r="L722" s="136"/>
      <c r="M722" s="136"/>
      <c r="N722" s="136" t="e">
        <f t="shared" si="31"/>
        <v>#N/A</v>
      </c>
      <c r="O722" s="136" t="e">
        <f t="shared" si="32"/>
        <v>#N/A</v>
      </c>
    </row>
    <row r="723" spans="1:15" ht="22.05" customHeight="1" x14ac:dyDescent="0.3">
      <c r="A723" s="136">
        <v>679</v>
      </c>
      <c r="B723" s="165" t="str">
        <f>IF($A723&gt;MIN($A$10,$A$2),"",INDEX(DemoHistory[Date],$A723))</f>
        <v/>
      </c>
      <c r="C723" s="166" t="str">
        <f>IF(OR($A723&gt;MIN($A$10,$A$2),$A$5=""),"",INDEX(DemoHistory[],$A723,MATCH($A$5,DemoHistory[#Headers],0)))</f>
        <v/>
      </c>
      <c r="D723" s="166" t="str">
        <f>IF($A723&gt;MIN($A$10,$A$2),"",IF(AND($A$12,$A$6=1,B723&lt;$A$7,$A$7&lt;=MAX(DemoHistory[Date])),$A$8,1))</f>
        <v/>
      </c>
      <c r="E723" s="166" t="str">
        <f t="shared" si="30"/>
        <v/>
      </c>
      <c r="F723" s="166" t="str">
        <f>IF($A723&gt;MIN($A$10,$A$2),"",IF($A723&lt;50,"n.a.",IF(COUNT(INDEX(StockDaily[Adjusted close],MAX(1,$A723-50+1)):E723)=50,AVERAGE(INDEX(StockDaily[Adjusted close],MAX(1,$A723-50+1)):E723),"n.a.")))</f>
        <v/>
      </c>
      <c r="G723" s="166" t="str">
        <f>IF($A723&gt;MIN($A$10,$A$2),"",IF($A723&lt;200,"n.a.",IF(COUNT(INDEX(StockDaily[Adjusted close],MAX(1,$A723-200+1)):E723)=200,AVERAGE(INDEX(StockDaily[Adjusted close],MAX(1,$A723-200+1)):E723),"n.a.")))</f>
        <v/>
      </c>
      <c r="H723" s="136" t="str">
        <f>IF($A723&gt;MIN($A$10,$A$2),"",IF($A$5="","Choose stock",IF(NOT($A$12),"Check split rule",IF(NOT(ISNUMBER(B723)),"Invalid date",IF(OR(B723&lt;=0,B723&lt;&gt;INT(B723)),"Invalid date",IF(COUNTIFS(DemoHistory[Date],B723)&lt;&gt;1,"Duplicate date",IF(AND($A723&gt;1,B723&lt;=B722),"Dates out of order",IF(NOT(ISNUMBER(C723)),"Missing price",IF(C723&lt;=0,"Nonpositive price","OK")))))))))</f>
        <v/>
      </c>
      <c r="I723" s="136"/>
      <c r="J723" s="136"/>
      <c r="K723" s="136"/>
      <c r="L723" s="136"/>
      <c r="M723" s="136"/>
      <c r="N723" s="136" t="e">
        <f t="shared" si="31"/>
        <v>#N/A</v>
      </c>
      <c r="O723" s="136" t="e">
        <f t="shared" si="32"/>
        <v>#N/A</v>
      </c>
    </row>
    <row r="724" spans="1:15" ht="22.05" customHeight="1" x14ac:dyDescent="0.3">
      <c r="A724" s="136">
        <v>680</v>
      </c>
      <c r="B724" s="165" t="str">
        <f>IF($A724&gt;MIN($A$10,$A$2),"",INDEX(DemoHistory[Date],$A724))</f>
        <v/>
      </c>
      <c r="C724" s="166" t="str">
        <f>IF(OR($A724&gt;MIN($A$10,$A$2),$A$5=""),"",INDEX(DemoHistory[],$A724,MATCH($A$5,DemoHistory[#Headers],0)))</f>
        <v/>
      </c>
      <c r="D724" s="166" t="str">
        <f>IF($A724&gt;MIN($A$10,$A$2),"",IF(AND($A$12,$A$6=1,B724&lt;$A$7,$A$7&lt;=MAX(DemoHistory[Date])),$A$8,1))</f>
        <v/>
      </c>
      <c r="E724" s="166" t="str">
        <f t="shared" si="30"/>
        <v/>
      </c>
      <c r="F724" s="166" t="str">
        <f>IF($A724&gt;MIN($A$10,$A$2),"",IF($A724&lt;50,"n.a.",IF(COUNT(INDEX(StockDaily[Adjusted close],MAX(1,$A724-50+1)):E724)=50,AVERAGE(INDEX(StockDaily[Adjusted close],MAX(1,$A724-50+1)):E724),"n.a.")))</f>
        <v/>
      </c>
      <c r="G724" s="166" t="str">
        <f>IF($A724&gt;MIN($A$10,$A$2),"",IF($A724&lt;200,"n.a.",IF(COUNT(INDEX(StockDaily[Adjusted close],MAX(1,$A724-200+1)):E724)=200,AVERAGE(INDEX(StockDaily[Adjusted close],MAX(1,$A724-200+1)):E724),"n.a.")))</f>
        <v/>
      </c>
      <c r="H724" s="136" t="str">
        <f>IF($A724&gt;MIN($A$10,$A$2),"",IF($A$5="","Choose stock",IF(NOT($A$12),"Check split rule",IF(NOT(ISNUMBER(B724)),"Invalid date",IF(OR(B724&lt;=0,B724&lt;&gt;INT(B724)),"Invalid date",IF(COUNTIFS(DemoHistory[Date],B724)&lt;&gt;1,"Duplicate date",IF(AND($A724&gt;1,B724&lt;=B723),"Dates out of order",IF(NOT(ISNUMBER(C724)),"Missing price",IF(C724&lt;=0,"Nonpositive price","OK")))))))))</f>
        <v/>
      </c>
      <c r="I724" s="136"/>
      <c r="J724" s="136"/>
      <c r="K724" s="136"/>
      <c r="L724" s="136"/>
      <c r="M724" s="136"/>
      <c r="N724" s="136" t="e">
        <f t="shared" si="31"/>
        <v>#N/A</v>
      </c>
      <c r="O724" s="136" t="e">
        <f t="shared" si="32"/>
        <v>#N/A</v>
      </c>
    </row>
    <row r="725" spans="1:15" ht="22.05" customHeight="1" x14ac:dyDescent="0.3">
      <c r="A725" s="136">
        <v>681</v>
      </c>
      <c r="B725" s="165" t="str">
        <f>IF($A725&gt;MIN($A$10,$A$2),"",INDEX(DemoHistory[Date],$A725))</f>
        <v/>
      </c>
      <c r="C725" s="166" t="str">
        <f>IF(OR($A725&gt;MIN($A$10,$A$2),$A$5=""),"",INDEX(DemoHistory[],$A725,MATCH($A$5,DemoHistory[#Headers],0)))</f>
        <v/>
      </c>
      <c r="D725" s="166" t="str">
        <f>IF($A725&gt;MIN($A$10,$A$2),"",IF(AND($A$12,$A$6=1,B725&lt;$A$7,$A$7&lt;=MAX(DemoHistory[Date])),$A$8,1))</f>
        <v/>
      </c>
      <c r="E725" s="166" t="str">
        <f t="shared" si="30"/>
        <v/>
      </c>
      <c r="F725" s="166" t="str">
        <f>IF($A725&gt;MIN($A$10,$A$2),"",IF($A725&lt;50,"n.a.",IF(COUNT(INDEX(StockDaily[Adjusted close],MAX(1,$A725-50+1)):E725)=50,AVERAGE(INDEX(StockDaily[Adjusted close],MAX(1,$A725-50+1)):E725),"n.a.")))</f>
        <v/>
      </c>
      <c r="G725" s="166" t="str">
        <f>IF($A725&gt;MIN($A$10,$A$2),"",IF($A725&lt;200,"n.a.",IF(COUNT(INDEX(StockDaily[Adjusted close],MAX(1,$A725-200+1)):E725)=200,AVERAGE(INDEX(StockDaily[Adjusted close],MAX(1,$A725-200+1)):E725),"n.a.")))</f>
        <v/>
      </c>
      <c r="H725" s="136" t="str">
        <f>IF($A725&gt;MIN($A$10,$A$2),"",IF($A$5="","Choose stock",IF(NOT($A$12),"Check split rule",IF(NOT(ISNUMBER(B725)),"Invalid date",IF(OR(B725&lt;=0,B725&lt;&gt;INT(B725)),"Invalid date",IF(COUNTIFS(DemoHistory[Date],B725)&lt;&gt;1,"Duplicate date",IF(AND($A725&gt;1,B725&lt;=B724),"Dates out of order",IF(NOT(ISNUMBER(C725)),"Missing price",IF(C725&lt;=0,"Nonpositive price","OK")))))))))</f>
        <v/>
      </c>
      <c r="I725" s="136"/>
      <c r="J725" s="136"/>
      <c r="K725" s="136"/>
      <c r="L725" s="136"/>
      <c r="M725" s="136"/>
      <c r="N725" s="136" t="e">
        <f t="shared" si="31"/>
        <v>#N/A</v>
      </c>
      <c r="O725" s="136" t="e">
        <f t="shared" si="32"/>
        <v>#N/A</v>
      </c>
    </row>
    <row r="726" spans="1:15" ht="22.05" customHeight="1" x14ac:dyDescent="0.3">
      <c r="A726" s="136">
        <v>682</v>
      </c>
      <c r="B726" s="165" t="str">
        <f>IF($A726&gt;MIN($A$10,$A$2),"",INDEX(DemoHistory[Date],$A726))</f>
        <v/>
      </c>
      <c r="C726" s="166" t="str">
        <f>IF(OR($A726&gt;MIN($A$10,$A$2),$A$5=""),"",INDEX(DemoHistory[],$A726,MATCH($A$5,DemoHistory[#Headers],0)))</f>
        <v/>
      </c>
      <c r="D726" s="166" t="str">
        <f>IF($A726&gt;MIN($A$10,$A$2),"",IF(AND($A$12,$A$6=1,B726&lt;$A$7,$A$7&lt;=MAX(DemoHistory[Date])),$A$8,1))</f>
        <v/>
      </c>
      <c r="E726" s="166" t="str">
        <f t="shared" si="30"/>
        <v/>
      </c>
      <c r="F726" s="166" t="str">
        <f>IF($A726&gt;MIN($A$10,$A$2),"",IF($A726&lt;50,"n.a.",IF(COUNT(INDEX(StockDaily[Adjusted close],MAX(1,$A726-50+1)):E726)=50,AVERAGE(INDEX(StockDaily[Adjusted close],MAX(1,$A726-50+1)):E726),"n.a.")))</f>
        <v/>
      </c>
      <c r="G726" s="166" t="str">
        <f>IF($A726&gt;MIN($A$10,$A$2),"",IF($A726&lt;200,"n.a.",IF(COUNT(INDEX(StockDaily[Adjusted close],MAX(1,$A726-200+1)):E726)=200,AVERAGE(INDEX(StockDaily[Adjusted close],MAX(1,$A726-200+1)):E726),"n.a.")))</f>
        <v/>
      </c>
      <c r="H726" s="136" t="str">
        <f>IF($A726&gt;MIN($A$10,$A$2),"",IF($A$5="","Choose stock",IF(NOT($A$12),"Check split rule",IF(NOT(ISNUMBER(B726)),"Invalid date",IF(OR(B726&lt;=0,B726&lt;&gt;INT(B726)),"Invalid date",IF(COUNTIFS(DemoHistory[Date],B726)&lt;&gt;1,"Duplicate date",IF(AND($A726&gt;1,B726&lt;=B725),"Dates out of order",IF(NOT(ISNUMBER(C726)),"Missing price",IF(C726&lt;=0,"Nonpositive price","OK")))))))))</f>
        <v/>
      </c>
      <c r="I726" s="136"/>
      <c r="J726" s="136"/>
      <c r="K726" s="136"/>
      <c r="L726" s="136"/>
      <c r="M726" s="136"/>
      <c r="N726" s="136" t="e">
        <f t="shared" si="31"/>
        <v>#N/A</v>
      </c>
      <c r="O726" s="136" t="e">
        <f t="shared" si="32"/>
        <v>#N/A</v>
      </c>
    </row>
    <row r="727" spans="1:15" ht="22.05" customHeight="1" x14ac:dyDescent="0.3">
      <c r="A727" s="136">
        <v>683</v>
      </c>
      <c r="B727" s="165" t="str">
        <f>IF($A727&gt;MIN($A$10,$A$2),"",INDEX(DemoHistory[Date],$A727))</f>
        <v/>
      </c>
      <c r="C727" s="166" t="str">
        <f>IF(OR($A727&gt;MIN($A$10,$A$2),$A$5=""),"",INDEX(DemoHistory[],$A727,MATCH($A$5,DemoHistory[#Headers],0)))</f>
        <v/>
      </c>
      <c r="D727" s="166" t="str">
        <f>IF($A727&gt;MIN($A$10,$A$2),"",IF(AND($A$12,$A$6=1,B727&lt;$A$7,$A$7&lt;=MAX(DemoHistory[Date])),$A$8,1))</f>
        <v/>
      </c>
      <c r="E727" s="166" t="str">
        <f t="shared" si="30"/>
        <v/>
      </c>
      <c r="F727" s="166" t="str">
        <f>IF($A727&gt;MIN($A$10,$A$2),"",IF($A727&lt;50,"n.a.",IF(COUNT(INDEX(StockDaily[Adjusted close],MAX(1,$A727-50+1)):E727)=50,AVERAGE(INDEX(StockDaily[Adjusted close],MAX(1,$A727-50+1)):E727),"n.a.")))</f>
        <v/>
      </c>
      <c r="G727" s="166" t="str">
        <f>IF($A727&gt;MIN($A$10,$A$2),"",IF($A727&lt;200,"n.a.",IF(COUNT(INDEX(StockDaily[Adjusted close],MAX(1,$A727-200+1)):E727)=200,AVERAGE(INDEX(StockDaily[Adjusted close],MAX(1,$A727-200+1)):E727),"n.a.")))</f>
        <v/>
      </c>
      <c r="H727" s="136" t="str">
        <f>IF($A727&gt;MIN($A$10,$A$2),"",IF($A$5="","Choose stock",IF(NOT($A$12),"Check split rule",IF(NOT(ISNUMBER(B727)),"Invalid date",IF(OR(B727&lt;=0,B727&lt;&gt;INT(B727)),"Invalid date",IF(COUNTIFS(DemoHistory[Date],B727)&lt;&gt;1,"Duplicate date",IF(AND($A727&gt;1,B727&lt;=B726),"Dates out of order",IF(NOT(ISNUMBER(C727)),"Missing price",IF(C727&lt;=0,"Nonpositive price","OK")))))))))</f>
        <v/>
      </c>
      <c r="I727" s="136"/>
      <c r="J727" s="136"/>
      <c r="K727" s="136"/>
      <c r="L727" s="136"/>
      <c r="M727" s="136"/>
      <c r="N727" s="136" t="e">
        <f t="shared" si="31"/>
        <v>#N/A</v>
      </c>
      <c r="O727" s="136" t="e">
        <f t="shared" si="32"/>
        <v>#N/A</v>
      </c>
    </row>
    <row r="728" spans="1:15" ht="22.05" customHeight="1" x14ac:dyDescent="0.3">
      <c r="A728" s="136">
        <v>684</v>
      </c>
      <c r="B728" s="165" t="str">
        <f>IF($A728&gt;MIN($A$10,$A$2),"",INDEX(DemoHistory[Date],$A728))</f>
        <v/>
      </c>
      <c r="C728" s="166" t="str">
        <f>IF(OR($A728&gt;MIN($A$10,$A$2),$A$5=""),"",INDEX(DemoHistory[],$A728,MATCH($A$5,DemoHistory[#Headers],0)))</f>
        <v/>
      </c>
      <c r="D728" s="166" t="str">
        <f>IF($A728&gt;MIN($A$10,$A$2),"",IF(AND($A$12,$A$6=1,B728&lt;$A$7,$A$7&lt;=MAX(DemoHistory[Date])),$A$8,1))</f>
        <v/>
      </c>
      <c r="E728" s="166" t="str">
        <f t="shared" si="30"/>
        <v/>
      </c>
      <c r="F728" s="166" t="str">
        <f>IF($A728&gt;MIN($A$10,$A$2),"",IF($A728&lt;50,"n.a.",IF(COUNT(INDEX(StockDaily[Adjusted close],MAX(1,$A728-50+1)):E728)=50,AVERAGE(INDEX(StockDaily[Adjusted close],MAX(1,$A728-50+1)):E728),"n.a.")))</f>
        <v/>
      </c>
      <c r="G728" s="166" t="str">
        <f>IF($A728&gt;MIN($A$10,$A$2),"",IF($A728&lt;200,"n.a.",IF(COUNT(INDEX(StockDaily[Adjusted close],MAX(1,$A728-200+1)):E728)=200,AVERAGE(INDEX(StockDaily[Adjusted close],MAX(1,$A728-200+1)):E728),"n.a.")))</f>
        <v/>
      </c>
      <c r="H728" s="136" t="str">
        <f>IF($A728&gt;MIN($A$10,$A$2),"",IF($A$5="","Choose stock",IF(NOT($A$12),"Check split rule",IF(NOT(ISNUMBER(B728)),"Invalid date",IF(OR(B728&lt;=0,B728&lt;&gt;INT(B728)),"Invalid date",IF(COUNTIFS(DemoHistory[Date],B728)&lt;&gt;1,"Duplicate date",IF(AND($A728&gt;1,B728&lt;=B727),"Dates out of order",IF(NOT(ISNUMBER(C728)),"Missing price",IF(C728&lt;=0,"Nonpositive price","OK")))))))))</f>
        <v/>
      </c>
      <c r="I728" s="136"/>
      <c r="J728" s="136"/>
      <c r="K728" s="136"/>
      <c r="L728" s="136"/>
      <c r="M728" s="136"/>
      <c r="N728" s="136" t="e">
        <f t="shared" si="31"/>
        <v>#N/A</v>
      </c>
      <c r="O728" s="136" t="e">
        <f t="shared" si="32"/>
        <v>#N/A</v>
      </c>
    </row>
    <row r="729" spans="1:15" ht="22.05" customHeight="1" x14ac:dyDescent="0.3">
      <c r="A729" s="136">
        <v>685</v>
      </c>
      <c r="B729" s="165" t="str">
        <f>IF($A729&gt;MIN($A$10,$A$2),"",INDEX(DemoHistory[Date],$A729))</f>
        <v/>
      </c>
      <c r="C729" s="166" t="str">
        <f>IF(OR($A729&gt;MIN($A$10,$A$2),$A$5=""),"",INDEX(DemoHistory[],$A729,MATCH($A$5,DemoHistory[#Headers],0)))</f>
        <v/>
      </c>
      <c r="D729" s="166" t="str">
        <f>IF($A729&gt;MIN($A$10,$A$2),"",IF(AND($A$12,$A$6=1,B729&lt;$A$7,$A$7&lt;=MAX(DemoHistory[Date])),$A$8,1))</f>
        <v/>
      </c>
      <c r="E729" s="166" t="str">
        <f t="shared" si="30"/>
        <v/>
      </c>
      <c r="F729" s="166" t="str">
        <f>IF($A729&gt;MIN($A$10,$A$2),"",IF($A729&lt;50,"n.a.",IF(COUNT(INDEX(StockDaily[Adjusted close],MAX(1,$A729-50+1)):E729)=50,AVERAGE(INDEX(StockDaily[Adjusted close],MAX(1,$A729-50+1)):E729),"n.a.")))</f>
        <v/>
      </c>
      <c r="G729" s="166" t="str">
        <f>IF($A729&gt;MIN($A$10,$A$2),"",IF($A729&lt;200,"n.a.",IF(COUNT(INDEX(StockDaily[Adjusted close],MAX(1,$A729-200+1)):E729)=200,AVERAGE(INDEX(StockDaily[Adjusted close],MAX(1,$A729-200+1)):E729),"n.a.")))</f>
        <v/>
      </c>
      <c r="H729" s="136" t="str">
        <f>IF($A729&gt;MIN($A$10,$A$2),"",IF($A$5="","Choose stock",IF(NOT($A$12),"Check split rule",IF(NOT(ISNUMBER(B729)),"Invalid date",IF(OR(B729&lt;=0,B729&lt;&gt;INT(B729)),"Invalid date",IF(COUNTIFS(DemoHistory[Date],B729)&lt;&gt;1,"Duplicate date",IF(AND($A729&gt;1,B729&lt;=B728),"Dates out of order",IF(NOT(ISNUMBER(C729)),"Missing price",IF(C729&lt;=0,"Nonpositive price","OK")))))))))</f>
        <v/>
      </c>
      <c r="I729" s="136"/>
      <c r="J729" s="136"/>
      <c r="K729" s="136"/>
      <c r="L729" s="136"/>
      <c r="M729" s="136"/>
      <c r="N729" s="136" t="e">
        <f t="shared" si="31"/>
        <v>#N/A</v>
      </c>
      <c r="O729" s="136" t="e">
        <f t="shared" si="32"/>
        <v>#N/A</v>
      </c>
    </row>
    <row r="730" spans="1:15" ht="22.05" customHeight="1" x14ac:dyDescent="0.3">
      <c r="A730" s="136">
        <v>686</v>
      </c>
      <c r="B730" s="165" t="str">
        <f>IF($A730&gt;MIN($A$10,$A$2),"",INDEX(DemoHistory[Date],$A730))</f>
        <v/>
      </c>
      <c r="C730" s="166" t="str">
        <f>IF(OR($A730&gt;MIN($A$10,$A$2),$A$5=""),"",INDEX(DemoHistory[],$A730,MATCH($A$5,DemoHistory[#Headers],0)))</f>
        <v/>
      </c>
      <c r="D730" s="166" t="str">
        <f>IF($A730&gt;MIN($A$10,$A$2),"",IF(AND($A$12,$A$6=1,B730&lt;$A$7,$A$7&lt;=MAX(DemoHistory[Date])),$A$8,1))</f>
        <v/>
      </c>
      <c r="E730" s="166" t="str">
        <f t="shared" si="30"/>
        <v/>
      </c>
      <c r="F730" s="166" t="str">
        <f>IF($A730&gt;MIN($A$10,$A$2),"",IF($A730&lt;50,"n.a.",IF(COUNT(INDEX(StockDaily[Adjusted close],MAX(1,$A730-50+1)):E730)=50,AVERAGE(INDEX(StockDaily[Adjusted close],MAX(1,$A730-50+1)):E730),"n.a.")))</f>
        <v/>
      </c>
      <c r="G730" s="166" t="str">
        <f>IF($A730&gt;MIN($A$10,$A$2),"",IF($A730&lt;200,"n.a.",IF(COUNT(INDEX(StockDaily[Adjusted close],MAX(1,$A730-200+1)):E730)=200,AVERAGE(INDEX(StockDaily[Adjusted close],MAX(1,$A730-200+1)):E730),"n.a.")))</f>
        <v/>
      </c>
      <c r="H730" s="136" t="str">
        <f>IF($A730&gt;MIN($A$10,$A$2),"",IF($A$5="","Choose stock",IF(NOT($A$12),"Check split rule",IF(NOT(ISNUMBER(B730)),"Invalid date",IF(OR(B730&lt;=0,B730&lt;&gt;INT(B730)),"Invalid date",IF(COUNTIFS(DemoHistory[Date],B730)&lt;&gt;1,"Duplicate date",IF(AND($A730&gt;1,B730&lt;=B729),"Dates out of order",IF(NOT(ISNUMBER(C730)),"Missing price",IF(C730&lt;=0,"Nonpositive price","OK")))))))))</f>
        <v/>
      </c>
      <c r="I730" s="136"/>
      <c r="J730" s="136"/>
      <c r="K730" s="136"/>
      <c r="L730" s="136"/>
      <c r="M730" s="136"/>
      <c r="N730" s="136" t="e">
        <f t="shared" si="31"/>
        <v>#N/A</v>
      </c>
      <c r="O730" s="136" t="e">
        <f t="shared" si="32"/>
        <v>#N/A</v>
      </c>
    </row>
    <row r="731" spans="1:15" ht="22.05" customHeight="1" x14ac:dyDescent="0.3">
      <c r="A731" s="136">
        <v>687</v>
      </c>
      <c r="B731" s="165" t="str">
        <f>IF($A731&gt;MIN($A$10,$A$2),"",INDEX(DemoHistory[Date],$A731))</f>
        <v/>
      </c>
      <c r="C731" s="166" t="str">
        <f>IF(OR($A731&gt;MIN($A$10,$A$2),$A$5=""),"",INDEX(DemoHistory[],$A731,MATCH($A$5,DemoHistory[#Headers],0)))</f>
        <v/>
      </c>
      <c r="D731" s="166" t="str">
        <f>IF($A731&gt;MIN($A$10,$A$2),"",IF(AND($A$12,$A$6=1,B731&lt;$A$7,$A$7&lt;=MAX(DemoHistory[Date])),$A$8,1))</f>
        <v/>
      </c>
      <c r="E731" s="166" t="str">
        <f t="shared" si="30"/>
        <v/>
      </c>
      <c r="F731" s="166" t="str">
        <f>IF($A731&gt;MIN($A$10,$A$2),"",IF($A731&lt;50,"n.a.",IF(COUNT(INDEX(StockDaily[Adjusted close],MAX(1,$A731-50+1)):E731)=50,AVERAGE(INDEX(StockDaily[Adjusted close],MAX(1,$A731-50+1)):E731),"n.a.")))</f>
        <v/>
      </c>
      <c r="G731" s="166" t="str">
        <f>IF($A731&gt;MIN($A$10,$A$2),"",IF($A731&lt;200,"n.a.",IF(COUNT(INDEX(StockDaily[Adjusted close],MAX(1,$A731-200+1)):E731)=200,AVERAGE(INDEX(StockDaily[Adjusted close],MAX(1,$A731-200+1)):E731),"n.a.")))</f>
        <v/>
      </c>
      <c r="H731" s="136" t="str">
        <f>IF($A731&gt;MIN($A$10,$A$2),"",IF($A$5="","Choose stock",IF(NOT($A$12),"Check split rule",IF(NOT(ISNUMBER(B731)),"Invalid date",IF(OR(B731&lt;=0,B731&lt;&gt;INT(B731)),"Invalid date",IF(COUNTIFS(DemoHistory[Date],B731)&lt;&gt;1,"Duplicate date",IF(AND($A731&gt;1,B731&lt;=B730),"Dates out of order",IF(NOT(ISNUMBER(C731)),"Missing price",IF(C731&lt;=0,"Nonpositive price","OK")))))))))</f>
        <v/>
      </c>
      <c r="I731" s="136"/>
      <c r="J731" s="136"/>
      <c r="K731" s="136"/>
      <c r="L731" s="136"/>
      <c r="M731" s="136"/>
      <c r="N731" s="136" t="e">
        <f t="shared" si="31"/>
        <v>#N/A</v>
      </c>
      <c r="O731" s="136" t="e">
        <f t="shared" si="32"/>
        <v>#N/A</v>
      </c>
    </row>
    <row r="732" spans="1:15" ht="22.05" customHeight="1" x14ac:dyDescent="0.3">
      <c r="A732" s="136">
        <v>688</v>
      </c>
      <c r="B732" s="165" t="str">
        <f>IF($A732&gt;MIN($A$10,$A$2),"",INDEX(DemoHistory[Date],$A732))</f>
        <v/>
      </c>
      <c r="C732" s="166" t="str">
        <f>IF(OR($A732&gt;MIN($A$10,$A$2),$A$5=""),"",INDEX(DemoHistory[],$A732,MATCH($A$5,DemoHistory[#Headers],0)))</f>
        <v/>
      </c>
      <c r="D732" s="166" t="str">
        <f>IF($A732&gt;MIN($A$10,$A$2),"",IF(AND($A$12,$A$6=1,B732&lt;$A$7,$A$7&lt;=MAX(DemoHistory[Date])),$A$8,1))</f>
        <v/>
      </c>
      <c r="E732" s="166" t="str">
        <f t="shared" si="30"/>
        <v/>
      </c>
      <c r="F732" s="166" t="str">
        <f>IF($A732&gt;MIN($A$10,$A$2),"",IF($A732&lt;50,"n.a.",IF(COUNT(INDEX(StockDaily[Adjusted close],MAX(1,$A732-50+1)):E732)=50,AVERAGE(INDEX(StockDaily[Adjusted close],MAX(1,$A732-50+1)):E732),"n.a.")))</f>
        <v/>
      </c>
      <c r="G732" s="166" t="str">
        <f>IF($A732&gt;MIN($A$10,$A$2),"",IF($A732&lt;200,"n.a.",IF(COUNT(INDEX(StockDaily[Adjusted close],MAX(1,$A732-200+1)):E732)=200,AVERAGE(INDEX(StockDaily[Adjusted close],MAX(1,$A732-200+1)):E732),"n.a.")))</f>
        <v/>
      </c>
      <c r="H732" s="136" t="str">
        <f>IF($A732&gt;MIN($A$10,$A$2),"",IF($A$5="","Choose stock",IF(NOT($A$12),"Check split rule",IF(NOT(ISNUMBER(B732)),"Invalid date",IF(OR(B732&lt;=0,B732&lt;&gt;INT(B732)),"Invalid date",IF(COUNTIFS(DemoHistory[Date],B732)&lt;&gt;1,"Duplicate date",IF(AND($A732&gt;1,B732&lt;=B731),"Dates out of order",IF(NOT(ISNUMBER(C732)),"Missing price",IF(C732&lt;=0,"Nonpositive price","OK")))))))))</f>
        <v/>
      </c>
      <c r="I732" s="136"/>
      <c r="J732" s="136"/>
      <c r="K732" s="136"/>
      <c r="L732" s="136"/>
      <c r="M732" s="136"/>
      <c r="N732" s="136" t="e">
        <f t="shared" si="31"/>
        <v>#N/A</v>
      </c>
      <c r="O732" s="136" t="e">
        <f t="shared" si="32"/>
        <v>#N/A</v>
      </c>
    </row>
    <row r="733" spans="1:15" ht="22.05" customHeight="1" x14ac:dyDescent="0.3">
      <c r="A733" s="136">
        <v>689</v>
      </c>
      <c r="B733" s="165" t="str">
        <f>IF($A733&gt;MIN($A$10,$A$2),"",INDEX(DemoHistory[Date],$A733))</f>
        <v/>
      </c>
      <c r="C733" s="166" t="str">
        <f>IF(OR($A733&gt;MIN($A$10,$A$2),$A$5=""),"",INDEX(DemoHistory[],$A733,MATCH($A$5,DemoHistory[#Headers],0)))</f>
        <v/>
      </c>
      <c r="D733" s="166" t="str">
        <f>IF($A733&gt;MIN($A$10,$A$2),"",IF(AND($A$12,$A$6=1,B733&lt;$A$7,$A$7&lt;=MAX(DemoHistory[Date])),$A$8,1))</f>
        <v/>
      </c>
      <c r="E733" s="166" t="str">
        <f t="shared" si="30"/>
        <v/>
      </c>
      <c r="F733" s="166" t="str">
        <f>IF($A733&gt;MIN($A$10,$A$2),"",IF($A733&lt;50,"n.a.",IF(COUNT(INDEX(StockDaily[Adjusted close],MAX(1,$A733-50+1)):E733)=50,AVERAGE(INDEX(StockDaily[Adjusted close],MAX(1,$A733-50+1)):E733),"n.a.")))</f>
        <v/>
      </c>
      <c r="G733" s="166" t="str">
        <f>IF($A733&gt;MIN($A$10,$A$2),"",IF($A733&lt;200,"n.a.",IF(COUNT(INDEX(StockDaily[Adjusted close],MAX(1,$A733-200+1)):E733)=200,AVERAGE(INDEX(StockDaily[Adjusted close],MAX(1,$A733-200+1)):E733),"n.a.")))</f>
        <v/>
      </c>
      <c r="H733" s="136" t="str">
        <f>IF($A733&gt;MIN($A$10,$A$2),"",IF($A$5="","Choose stock",IF(NOT($A$12),"Check split rule",IF(NOT(ISNUMBER(B733)),"Invalid date",IF(OR(B733&lt;=0,B733&lt;&gt;INT(B733)),"Invalid date",IF(COUNTIFS(DemoHistory[Date],B733)&lt;&gt;1,"Duplicate date",IF(AND($A733&gt;1,B733&lt;=B732),"Dates out of order",IF(NOT(ISNUMBER(C733)),"Missing price",IF(C733&lt;=0,"Nonpositive price","OK")))))))))</f>
        <v/>
      </c>
      <c r="I733" s="136"/>
      <c r="J733" s="136"/>
      <c r="K733" s="136"/>
      <c r="L733" s="136"/>
      <c r="M733" s="136"/>
      <c r="N733" s="136" t="e">
        <f t="shared" si="31"/>
        <v>#N/A</v>
      </c>
      <c r="O733" s="136" t="e">
        <f t="shared" si="32"/>
        <v>#N/A</v>
      </c>
    </row>
    <row r="734" spans="1:15" ht="22.05" customHeight="1" x14ac:dyDescent="0.3">
      <c r="A734" s="136">
        <v>690</v>
      </c>
      <c r="B734" s="165" t="str">
        <f>IF($A734&gt;MIN($A$10,$A$2),"",INDEX(DemoHistory[Date],$A734))</f>
        <v/>
      </c>
      <c r="C734" s="166" t="str">
        <f>IF(OR($A734&gt;MIN($A$10,$A$2),$A$5=""),"",INDEX(DemoHistory[],$A734,MATCH($A$5,DemoHistory[#Headers],0)))</f>
        <v/>
      </c>
      <c r="D734" s="166" t="str">
        <f>IF($A734&gt;MIN($A$10,$A$2),"",IF(AND($A$12,$A$6=1,B734&lt;$A$7,$A$7&lt;=MAX(DemoHistory[Date])),$A$8,1))</f>
        <v/>
      </c>
      <c r="E734" s="166" t="str">
        <f t="shared" si="30"/>
        <v/>
      </c>
      <c r="F734" s="166" t="str">
        <f>IF($A734&gt;MIN($A$10,$A$2),"",IF($A734&lt;50,"n.a.",IF(COUNT(INDEX(StockDaily[Adjusted close],MAX(1,$A734-50+1)):E734)=50,AVERAGE(INDEX(StockDaily[Adjusted close],MAX(1,$A734-50+1)):E734),"n.a.")))</f>
        <v/>
      </c>
      <c r="G734" s="166" t="str">
        <f>IF($A734&gt;MIN($A$10,$A$2),"",IF($A734&lt;200,"n.a.",IF(COUNT(INDEX(StockDaily[Adjusted close],MAX(1,$A734-200+1)):E734)=200,AVERAGE(INDEX(StockDaily[Adjusted close],MAX(1,$A734-200+1)):E734),"n.a.")))</f>
        <v/>
      </c>
      <c r="H734" s="136" t="str">
        <f>IF($A734&gt;MIN($A$10,$A$2),"",IF($A$5="","Choose stock",IF(NOT($A$12),"Check split rule",IF(NOT(ISNUMBER(B734)),"Invalid date",IF(OR(B734&lt;=0,B734&lt;&gt;INT(B734)),"Invalid date",IF(COUNTIFS(DemoHistory[Date],B734)&lt;&gt;1,"Duplicate date",IF(AND($A734&gt;1,B734&lt;=B733),"Dates out of order",IF(NOT(ISNUMBER(C734)),"Missing price",IF(C734&lt;=0,"Nonpositive price","OK")))))))))</f>
        <v/>
      </c>
      <c r="I734" s="136"/>
      <c r="J734" s="136"/>
      <c r="K734" s="136"/>
      <c r="L734" s="136"/>
      <c r="M734" s="136"/>
      <c r="N734" s="136" t="e">
        <f t="shared" si="31"/>
        <v>#N/A</v>
      </c>
      <c r="O734" s="136" t="e">
        <f t="shared" si="32"/>
        <v>#N/A</v>
      </c>
    </row>
    <row r="735" spans="1:15" ht="22.05" customHeight="1" x14ac:dyDescent="0.3">
      <c r="A735" s="136">
        <v>691</v>
      </c>
      <c r="B735" s="165" t="str">
        <f>IF($A735&gt;MIN($A$10,$A$2),"",INDEX(DemoHistory[Date],$A735))</f>
        <v/>
      </c>
      <c r="C735" s="166" t="str">
        <f>IF(OR($A735&gt;MIN($A$10,$A$2),$A$5=""),"",INDEX(DemoHistory[],$A735,MATCH($A$5,DemoHistory[#Headers],0)))</f>
        <v/>
      </c>
      <c r="D735" s="166" t="str">
        <f>IF($A735&gt;MIN($A$10,$A$2),"",IF(AND($A$12,$A$6=1,B735&lt;$A$7,$A$7&lt;=MAX(DemoHistory[Date])),$A$8,1))</f>
        <v/>
      </c>
      <c r="E735" s="166" t="str">
        <f t="shared" si="30"/>
        <v/>
      </c>
      <c r="F735" s="166" t="str">
        <f>IF($A735&gt;MIN($A$10,$A$2),"",IF($A735&lt;50,"n.a.",IF(COUNT(INDEX(StockDaily[Adjusted close],MAX(1,$A735-50+1)):E735)=50,AVERAGE(INDEX(StockDaily[Adjusted close],MAX(1,$A735-50+1)):E735),"n.a.")))</f>
        <v/>
      </c>
      <c r="G735" s="166" t="str">
        <f>IF($A735&gt;MIN($A$10,$A$2),"",IF($A735&lt;200,"n.a.",IF(COUNT(INDEX(StockDaily[Adjusted close],MAX(1,$A735-200+1)):E735)=200,AVERAGE(INDEX(StockDaily[Adjusted close],MAX(1,$A735-200+1)):E735),"n.a.")))</f>
        <v/>
      </c>
      <c r="H735" s="136" t="str">
        <f>IF($A735&gt;MIN($A$10,$A$2),"",IF($A$5="","Choose stock",IF(NOT($A$12),"Check split rule",IF(NOT(ISNUMBER(B735)),"Invalid date",IF(OR(B735&lt;=0,B735&lt;&gt;INT(B735)),"Invalid date",IF(COUNTIFS(DemoHistory[Date],B735)&lt;&gt;1,"Duplicate date",IF(AND($A735&gt;1,B735&lt;=B734),"Dates out of order",IF(NOT(ISNUMBER(C735)),"Missing price",IF(C735&lt;=0,"Nonpositive price","OK")))))))))</f>
        <v/>
      </c>
      <c r="I735" s="136"/>
      <c r="J735" s="136"/>
      <c r="K735" s="136"/>
      <c r="L735" s="136"/>
      <c r="M735" s="136"/>
      <c r="N735" s="136" t="e">
        <f t="shared" si="31"/>
        <v>#N/A</v>
      </c>
      <c r="O735" s="136" t="e">
        <f t="shared" si="32"/>
        <v>#N/A</v>
      </c>
    </row>
    <row r="736" spans="1:15" ht="22.05" customHeight="1" x14ac:dyDescent="0.3">
      <c r="A736" s="136">
        <v>692</v>
      </c>
      <c r="B736" s="165" t="str">
        <f>IF($A736&gt;MIN($A$10,$A$2),"",INDEX(DemoHistory[Date],$A736))</f>
        <v/>
      </c>
      <c r="C736" s="166" t="str">
        <f>IF(OR($A736&gt;MIN($A$10,$A$2),$A$5=""),"",INDEX(DemoHistory[],$A736,MATCH($A$5,DemoHistory[#Headers],0)))</f>
        <v/>
      </c>
      <c r="D736" s="166" t="str">
        <f>IF($A736&gt;MIN($A$10,$A$2),"",IF(AND($A$12,$A$6=1,B736&lt;$A$7,$A$7&lt;=MAX(DemoHistory[Date])),$A$8,1))</f>
        <v/>
      </c>
      <c r="E736" s="166" t="str">
        <f t="shared" si="30"/>
        <v/>
      </c>
      <c r="F736" s="166" t="str">
        <f>IF($A736&gt;MIN($A$10,$A$2),"",IF($A736&lt;50,"n.a.",IF(COUNT(INDEX(StockDaily[Adjusted close],MAX(1,$A736-50+1)):E736)=50,AVERAGE(INDEX(StockDaily[Adjusted close],MAX(1,$A736-50+1)):E736),"n.a.")))</f>
        <v/>
      </c>
      <c r="G736" s="166" t="str">
        <f>IF($A736&gt;MIN($A$10,$A$2),"",IF($A736&lt;200,"n.a.",IF(COUNT(INDEX(StockDaily[Adjusted close],MAX(1,$A736-200+1)):E736)=200,AVERAGE(INDEX(StockDaily[Adjusted close],MAX(1,$A736-200+1)):E736),"n.a.")))</f>
        <v/>
      </c>
      <c r="H736" s="136" t="str">
        <f>IF($A736&gt;MIN($A$10,$A$2),"",IF($A$5="","Choose stock",IF(NOT($A$12),"Check split rule",IF(NOT(ISNUMBER(B736)),"Invalid date",IF(OR(B736&lt;=0,B736&lt;&gt;INT(B736)),"Invalid date",IF(COUNTIFS(DemoHistory[Date],B736)&lt;&gt;1,"Duplicate date",IF(AND($A736&gt;1,B736&lt;=B735),"Dates out of order",IF(NOT(ISNUMBER(C736)),"Missing price",IF(C736&lt;=0,"Nonpositive price","OK")))))))))</f>
        <v/>
      </c>
      <c r="I736" s="136"/>
      <c r="J736" s="136"/>
      <c r="K736" s="136"/>
      <c r="L736" s="136"/>
      <c r="M736" s="136"/>
      <c r="N736" s="136" t="e">
        <f t="shared" si="31"/>
        <v>#N/A</v>
      </c>
      <c r="O736" s="136" t="e">
        <f t="shared" si="32"/>
        <v>#N/A</v>
      </c>
    </row>
    <row r="737" spans="1:15" ht="22.05" customHeight="1" x14ac:dyDescent="0.3">
      <c r="A737" s="136">
        <v>693</v>
      </c>
      <c r="B737" s="165" t="str">
        <f>IF($A737&gt;MIN($A$10,$A$2),"",INDEX(DemoHistory[Date],$A737))</f>
        <v/>
      </c>
      <c r="C737" s="166" t="str">
        <f>IF(OR($A737&gt;MIN($A$10,$A$2),$A$5=""),"",INDEX(DemoHistory[],$A737,MATCH($A$5,DemoHistory[#Headers],0)))</f>
        <v/>
      </c>
      <c r="D737" s="166" t="str">
        <f>IF($A737&gt;MIN($A$10,$A$2),"",IF(AND($A$12,$A$6=1,B737&lt;$A$7,$A$7&lt;=MAX(DemoHistory[Date])),$A$8,1))</f>
        <v/>
      </c>
      <c r="E737" s="166" t="str">
        <f t="shared" si="30"/>
        <v/>
      </c>
      <c r="F737" s="166" t="str">
        <f>IF($A737&gt;MIN($A$10,$A$2),"",IF($A737&lt;50,"n.a.",IF(COUNT(INDEX(StockDaily[Adjusted close],MAX(1,$A737-50+1)):E737)=50,AVERAGE(INDEX(StockDaily[Adjusted close],MAX(1,$A737-50+1)):E737),"n.a.")))</f>
        <v/>
      </c>
      <c r="G737" s="166" t="str">
        <f>IF($A737&gt;MIN($A$10,$A$2),"",IF($A737&lt;200,"n.a.",IF(COUNT(INDEX(StockDaily[Adjusted close],MAX(1,$A737-200+1)):E737)=200,AVERAGE(INDEX(StockDaily[Adjusted close],MAX(1,$A737-200+1)):E737),"n.a.")))</f>
        <v/>
      </c>
      <c r="H737" s="136" t="str">
        <f>IF($A737&gt;MIN($A$10,$A$2),"",IF($A$5="","Choose stock",IF(NOT($A$12),"Check split rule",IF(NOT(ISNUMBER(B737)),"Invalid date",IF(OR(B737&lt;=0,B737&lt;&gt;INT(B737)),"Invalid date",IF(COUNTIFS(DemoHistory[Date],B737)&lt;&gt;1,"Duplicate date",IF(AND($A737&gt;1,B737&lt;=B736),"Dates out of order",IF(NOT(ISNUMBER(C737)),"Missing price",IF(C737&lt;=0,"Nonpositive price","OK")))))))))</f>
        <v/>
      </c>
      <c r="I737" s="136"/>
      <c r="J737" s="136"/>
      <c r="K737" s="136"/>
      <c r="L737" s="136"/>
      <c r="M737" s="136"/>
      <c r="N737" s="136" t="e">
        <f t="shared" si="31"/>
        <v>#N/A</v>
      </c>
      <c r="O737" s="136" t="e">
        <f t="shared" si="32"/>
        <v>#N/A</v>
      </c>
    </row>
    <row r="738" spans="1:15" ht="22.05" customHeight="1" x14ac:dyDescent="0.3">
      <c r="A738" s="136">
        <v>694</v>
      </c>
      <c r="B738" s="165" t="str">
        <f>IF($A738&gt;MIN($A$10,$A$2),"",INDEX(DemoHistory[Date],$A738))</f>
        <v/>
      </c>
      <c r="C738" s="166" t="str">
        <f>IF(OR($A738&gt;MIN($A$10,$A$2),$A$5=""),"",INDEX(DemoHistory[],$A738,MATCH($A$5,DemoHistory[#Headers],0)))</f>
        <v/>
      </c>
      <c r="D738" s="166" t="str">
        <f>IF($A738&gt;MIN($A$10,$A$2),"",IF(AND($A$12,$A$6=1,B738&lt;$A$7,$A$7&lt;=MAX(DemoHistory[Date])),$A$8,1))</f>
        <v/>
      </c>
      <c r="E738" s="166" t="str">
        <f t="shared" si="30"/>
        <v/>
      </c>
      <c r="F738" s="166" t="str">
        <f>IF($A738&gt;MIN($A$10,$A$2),"",IF($A738&lt;50,"n.a.",IF(COUNT(INDEX(StockDaily[Adjusted close],MAX(1,$A738-50+1)):E738)=50,AVERAGE(INDEX(StockDaily[Adjusted close],MAX(1,$A738-50+1)):E738),"n.a.")))</f>
        <v/>
      </c>
      <c r="G738" s="166" t="str">
        <f>IF($A738&gt;MIN($A$10,$A$2),"",IF($A738&lt;200,"n.a.",IF(COUNT(INDEX(StockDaily[Adjusted close],MAX(1,$A738-200+1)):E738)=200,AVERAGE(INDEX(StockDaily[Adjusted close],MAX(1,$A738-200+1)):E738),"n.a.")))</f>
        <v/>
      </c>
      <c r="H738" s="136" t="str">
        <f>IF($A738&gt;MIN($A$10,$A$2),"",IF($A$5="","Choose stock",IF(NOT($A$12),"Check split rule",IF(NOT(ISNUMBER(B738)),"Invalid date",IF(OR(B738&lt;=0,B738&lt;&gt;INT(B738)),"Invalid date",IF(COUNTIFS(DemoHistory[Date],B738)&lt;&gt;1,"Duplicate date",IF(AND($A738&gt;1,B738&lt;=B737),"Dates out of order",IF(NOT(ISNUMBER(C738)),"Missing price",IF(C738&lt;=0,"Nonpositive price","OK")))))))))</f>
        <v/>
      </c>
      <c r="I738" s="136"/>
      <c r="J738" s="136"/>
      <c r="K738" s="136"/>
      <c r="L738" s="136"/>
      <c r="M738" s="136"/>
      <c r="N738" s="136" t="e">
        <f t="shared" si="31"/>
        <v>#N/A</v>
      </c>
      <c r="O738" s="136" t="e">
        <f t="shared" si="32"/>
        <v>#N/A</v>
      </c>
    </row>
    <row r="739" spans="1:15" ht="22.05" customHeight="1" x14ac:dyDescent="0.3">
      <c r="A739" s="136">
        <v>695</v>
      </c>
      <c r="B739" s="165" t="str">
        <f>IF($A739&gt;MIN($A$10,$A$2),"",INDEX(DemoHistory[Date],$A739))</f>
        <v/>
      </c>
      <c r="C739" s="166" t="str">
        <f>IF(OR($A739&gt;MIN($A$10,$A$2),$A$5=""),"",INDEX(DemoHistory[],$A739,MATCH($A$5,DemoHistory[#Headers],0)))</f>
        <v/>
      </c>
      <c r="D739" s="166" t="str">
        <f>IF($A739&gt;MIN($A$10,$A$2),"",IF(AND($A$12,$A$6=1,B739&lt;$A$7,$A$7&lt;=MAX(DemoHistory[Date])),$A$8,1))</f>
        <v/>
      </c>
      <c r="E739" s="166" t="str">
        <f t="shared" si="30"/>
        <v/>
      </c>
      <c r="F739" s="166" t="str">
        <f>IF($A739&gt;MIN($A$10,$A$2),"",IF($A739&lt;50,"n.a.",IF(COUNT(INDEX(StockDaily[Adjusted close],MAX(1,$A739-50+1)):E739)=50,AVERAGE(INDEX(StockDaily[Adjusted close],MAX(1,$A739-50+1)):E739),"n.a.")))</f>
        <v/>
      </c>
      <c r="G739" s="166" t="str">
        <f>IF($A739&gt;MIN($A$10,$A$2),"",IF($A739&lt;200,"n.a.",IF(COUNT(INDEX(StockDaily[Adjusted close],MAX(1,$A739-200+1)):E739)=200,AVERAGE(INDEX(StockDaily[Adjusted close],MAX(1,$A739-200+1)):E739),"n.a.")))</f>
        <v/>
      </c>
      <c r="H739" s="136" t="str">
        <f>IF($A739&gt;MIN($A$10,$A$2),"",IF($A$5="","Choose stock",IF(NOT($A$12),"Check split rule",IF(NOT(ISNUMBER(B739)),"Invalid date",IF(OR(B739&lt;=0,B739&lt;&gt;INT(B739)),"Invalid date",IF(COUNTIFS(DemoHistory[Date],B739)&lt;&gt;1,"Duplicate date",IF(AND($A739&gt;1,B739&lt;=B738),"Dates out of order",IF(NOT(ISNUMBER(C739)),"Missing price",IF(C739&lt;=0,"Nonpositive price","OK")))))))))</f>
        <v/>
      </c>
      <c r="I739" s="136"/>
      <c r="J739" s="136"/>
      <c r="K739" s="136"/>
      <c r="L739" s="136"/>
      <c r="M739" s="136"/>
      <c r="N739" s="136" t="e">
        <f t="shared" si="31"/>
        <v>#N/A</v>
      </c>
      <c r="O739" s="136" t="e">
        <f t="shared" si="32"/>
        <v>#N/A</v>
      </c>
    </row>
    <row r="740" spans="1:15" ht="22.05" customHeight="1" x14ac:dyDescent="0.3">
      <c r="A740" s="136">
        <v>696</v>
      </c>
      <c r="B740" s="165" t="str">
        <f>IF($A740&gt;MIN($A$10,$A$2),"",INDEX(DemoHistory[Date],$A740))</f>
        <v/>
      </c>
      <c r="C740" s="166" t="str">
        <f>IF(OR($A740&gt;MIN($A$10,$A$2),$A$5=""),"",INDEX(DemoHistory[],$A740,MATCH($A$5,DemoHistory[#Headers],0)))</f>
        <v/>
      </c>
      <c r="D740" s="166" t="str">
        <f>IF($A740&gt;MIN($A$10,$A$2),"",IF(AND($A$12,$A$6=1,B740&lt;$A$7,$A$7&lt;=MAX(DemoHistory[Date])),$A$8,1))</f>
        <v/>
      </c>
      <c r="E740" s="166" t="str">
        <f t="shared" si="30"/>
        <v/>
      </c>
      <c r="F740" s="166" t="str">
        <f>IF($A740&gt;MIN($A$10,$A$2),"",IF($A740&lt;50,"n.a.",IF(COUNT(INDEX(StockDaily[Adjusted close],MAX(1,$A740-50+1)):E740)=50,AVERAGE(INDEX(StockDaily[Adjusted close],MAX(1,$A740-50+1)):E740),"n.a.")))</f>
        <v/>
      </c>
      <c r="G740" s="166" t="str">
        <f>IF($A740&gt;MIN($A$10,$A$2),"",IF($A740&lt;200,"n.a.",IF(COUNT(INDEX(StockDaily[Adjusted close],MAX(1,$A740-200+1)):E740)=200,AVERAGE(INDEX(StockDaily[Adjusted close],MAX(1,$A740-200+1)):E740),"n.a.")))</f>
        <v/>
      </c>
      <c r="H740" s="136" t="str">
        <f>IF($A740&gt;MIN($A$10,$A$2),"",IF($A$5="","Choose stock",IF(NOT($A$12),"Check split rule",IF(NOT(ISNUMBER(B740)),"Invalid date",IF(OR(B740&lt;=0,B740&lt;&gt;INT(B740)),"Invalid date",IF(COUNTIFS(DemoHistory[Date],B740)&lt;&gt;1,"Duplicate date",IF(AND($A740&gt;1,B740&lt;=B739),"Dates out of order",IF(NOT(ISNUMBER(C740)),"Missing price",IF(C740&lt;=0,"Nonpositive price","OK")))))))))</f>
        <v/>
      </c>
      <c r="I740" s="136"/>
      <c r="J740" s="136"/>
      <c r="K740" s="136"/>
      <c r="L740" s="136"/>
      <c r="M740" s="136"/>
      <c r="N740" s="136" t="e">
        <f t="shared" si="31"/>
        <v>#N/A</v>
      </c>
      <c r="O740" s="136" t="e">
        <f t="shared" si="32"/>
        <v>#N/A</v>
      </c>
    </row>
    <row r="741" spans="1:15" ht="22.05" customHeight="1" x14ac:dyDescent="0.3">
      <c r="A741" s="136">
        <v>697</v>
      </c>
      <c r="B741" s="165" t="str">
        <f>IF($A741&gt;MIN($A$10,$A$2),"",INDEX(DemoHistory[Date],$A741))</f>
        <v/>
      </c>
      <c r="C741" s="166" t="str">
        <f>IF(OR($A741&gt;MIN($A$10,$A$2),$A$5=""),"",INDEX(DemoHistory[],$A741,MATCH($A$5,DemoHistory[#Headers],0)))</f>
        <v/>
      </c>
      <c r="D741" s="166" t="str">
        <f>IF($A741&gt;MIN($A$10,$A$2),"",IF(AND($A$12,$A$6=1,B741&lt;$A$7,$A$7&lt;=MAX(DemoHistory[Date])),$A$8,1))</f>
        <v/>
      </c>
      <c r="E741" s="166" t="str">
        <f t="shared" si="30"/>
        <v/>
      </c>
      <c r="F741" s="166" t="str">
        <f>IF($A741&gt;MIN($A$10,$A$2),"",IF($A741&lt;50,"n.a.",IF(COUNT(INDEX(StockDaily[Adjusted close],MAX(1,$A741-50+1)):E741)=50,AVERAGE(INDEX(StockDaily[Adjusted close],MAX(1,$A741-50+1)):E741),"n.a.")))</f>
        <v/>
      </c>
      <c r="G741" s="166" t="str">
        <f>IF($A741&gt;MIN($A$10,$A$2),"",IF($A741&lt;200,"n.a.",IF(COUNT(INDEX(StockDaily[Adjusted close],MAX(1,$A741-200+1)):E741)=200,AVERAGE(INDEX(StockDaily[Adjusted close],MAX(1,$A741-200+1)):E741),"n.a.")))</f>
        <v/>
      </c>
      <c r="H741" s="136" t="str">
        <f>IF($A741&gt;MIN($A$10,$A$2),"",IF($A$5="","Choose stock",IF(NOT($A$12),"Check split rule",IF(NOT(ISNUMBER(B741)),"Invalid date",IF(OR(B741&lt;=0,B741&lt;&gt;INT(B741)),"Invalid date",IF(COUNTIFS(DemoHistory[Date],B741)&lt;&gt;1,"Duplicate date",IF(AND($A741&gt;1,B741&lt;=B740),"Dates out of order",IF(NOT(ISNUMBER(C741)),"Missing price",IF(C741&lt;=0,"Nonpositive price","OK")))))))))</f>
        <v/>
      </c>
      <c r="I741" s="136"/>
      <c r="J741" s="136"/>
      <c r="K741" s="136"/>
      <c r="L741" s="136"/>
      <c r="M741" s="136"/>
      <c r="N741" s="136" t="e">
        <f t="shared" si="31"/>
        <v>#N/A</v>
      </c>
      <c r="O741" s="136" t="e">
        <f t="shared" si="32"/>
        <v>#N/A</v>
      </c>
    </row>
    <row r="742" spans="1:15" ht="22.05" customHeight="1" x14ac:dyDescent="0.3">
      <c r="A742" s="136">
        <v>698</v>
      </c>
      <c r="B742" s="165" t="str">
        <f>IF($A742&gt;MIN($A$10,$A$2),"",INDEX(DemoHistory[Date],$A742))</f>
        <v/>
      </c>
      <c r="C742" s="166" t="str">
        <f>IF(OR($A742&gt;MIN($A$10,$A$2),$A$5=""),"",INDEX(DemoHistory[],$A742,MATCH($A$5,DemoHistory[#Headers],0)))</f>
        <v/>
      </c>
      <c r="D742" s="166" t="str">
        <f>IF($A742&gt;MIN($A$10,$A$2),"",IF(AND($A$12,$A$6=1,B742&lt;$A$7,$A$7&lt;=MAX(DemoHistory[Date])),$A$8,1))</f>
        <v/>
      </c>
      <c r="E742" s="166" t="str">
        <f t="shared" si="30"/>
        <v/>
      </c>
      <c r="F742" s="166" t="str">
        <f>IF($A742&gt;MIN($A$10,$A$2),"",IF($A742&lt;50,"n.a.",IF(COUNT(INDEX(StockDaily[Adjusted close],MAX(1,$A742-50+1)):E742)=50,AVERAGE(INDEX(StockDaily[Adjusted close],MAX(1,$A742-50+1)):E742),"n.a.")))</f>
        <v/>
      </c>
      <c r="G742" s="166" t="str">
        <f>IF($A742&gt;MIN($A$10,$A$2),"",IF($A742&lt;200,"n.a.",IF(COUNT(INDEX(StockDaily[Adjusted close],MAX(1,$A742-200+1)):E742)=200,AVERAGE(INDEX(StockDaily[Adjusted close],MAX(1,$A742-200+1)):E742),"n.a.")))</f>
        <v/>
      </c>
      <c r="H742" s="136" t="str">
        <f>IF($A742&gt;MIN($A$10,$A$2),"",IF($A$5="","Choose stock",IF(NOT($A$12),"Check split rule",IF(NOT(ISNUMBER(B742)),"Invalid date",IF(OR(B742&lt;=0,B742&lt;&gt;INT(B742)),"Invalid date",IF(COUNTIFS(DemoHistory[Date],B742)&lt;&gt;1,"Duplicate date",IF(AND($A742&gt;1,B742&lt;=B741),"Dates out of order",IF(NOT(ISNUMBER(C742)),"Missing price",IF(C742&lt;=0,"Nonpositive price","OK")))))))))</f>
        <v/>
      </c>
      <c r="I742" s="136"/>
      <c r="J742" s="136"/>
      <c r="K742" s="136"/>
      <c r="L742" s="136"/>
      <c r="M742" s="136"/>
      <c r="N742" s="136" t="e">
        <f t="shared" si="31"/>
        <v>#N/A</v>
      </c>
      <c r="O742" s="136" t="e">
        <f t="shared" si="32"/>
        <v>#N/A</v>
      </c>
    </row>
    <row r="743" spans="1:15" ht="22.05" customHeight="1" x14ac:dyDescent="0.3">
      <c r="A743" s="136">
        <v>699</v>
      </c>
      <c r="B743" s="165" t="str">
        <f>IF($A743&gt;MIN($A$10,$A$2),"",INDEX(DemoHistory[Date],$A743))</f>
        <v/>
      </c>
      <c r="C743" s="166" t="str">
        <f>IF(OR($A743&gt;MIN($A$10,$A$2),$A$5=""),"",INDEX(DemoHistory[],$A743,MATCH($A$5,DemoHistory[#Headers],0)))</f>
        <v/>
      </c>
      <c r="D743" s="166" t="str">
        <f>IF($A743&gt;MIN($A$10,$A$2),"",IF(AND($A$12,$A$6=1,B743&lt;$A$7,$A$7&lt;=MAX(DemoHistory[Date])),$A$8,1))</f>
        <v/>
      </c>
      <c r="E743" s="166" t="str">
        <f t="shared" si="30"/>
        <v/>
      </c>
      <c r="F743" s="166" t="str">
        <f>IF($A743&gt;MIN($A$10,$A$2),"",IF($A743&lt;50,"n.a.",IF(COUNT(INDEX(StockDaily[Adjusted close],MAX(1,$A743-50+1)):E743)=50,AVERAGE(INDEX(StockDaily[Adjusted close],MAX(1,$A743-50+1)):E743),"n.a.")))</f>
        <v/>
      </c>
      <c r="G743" s="166" t="str">
        <f>IF($A743&gt;MIN($A$10,$A$2),"",IF($A743&lt;200,"n.a.",IF(COUNT(INDEX(StockDaily[Adjusted close],MAX(1,$A743-200+1)):E743)=200,AVERAGE(INDEX(StockDaily[Adjusted close],MAX(1,$A743-200+1)):E743),"n.a.")))</f>
        <v/>
      </c>
      <c r="H743" s="136" t="str">
        <f>IF($A743&gt;MIN($A$10,$A$2),"",IF($A$5="","Choose stock",IF(NOT($A$12),"Check split rule",IF(NOT(ISNUMBER(B743)),"Invalid date",IF(OR(B743&lt;=0,B743&lt;&gt;INT(B743)),"Invalid date",IF(COUNTIFS(DemoHistory[Date],B743)&lt;&gt;1,"Duplicate date",IF(AND($A743&gt;1,B743&lt;=B742),"Dates out of order",IF(NOT(ISNUMBER(C743)),"Missing price",IF(C743&lt;=0,"Nonpositive price","OK")))))))))</f>
        <v/>
      </c>
      <c r="I743" s="136"/>
      <c r="J743" s="136"/>
      <c r="K743" s="136"/>
      <c r="L743" s="136"/>
      <c r="M743" s="136"/>
      <c r="N743" s="136" t="e">
        <f t="shared" si="31"/>
        <v>#N/A</v>
      </c>
      <c r="O743" s="136" t="e">
        <f t="shared" si="32"/>
        <v>#N/A</v>
      </c>
    </row>
    <row r="744" spans="1:15" ht="22.05" customHeight="1" x14ac:dyDescent="0.3">
      <c r="A744" s="136">
        <v>700</v>
      </c>
      <c r="B744" s="165" t="str">
        <f>IF($A744&gt;MIN($A$10,$A$2),"",INDEX(DemoHistory[Date],$A744))</f>
        <v/>
      </c>
      <c r="C744" s="166" t="str">
        <f>IF(OR($A744&gt;MIN($A$10,$A$2),$A$5=""),"",INDEX(DemoHistory[],$A744,MATCH($A$5,DemoHistory[#Headers],0)))</f>
        <v/>
      </c>
      <c r="D744" s="166" t="str">
        <f>IF($A744&gt;MIN($A$10,$A$2),"",IF(AND($A$12,$A$6=1,B744&lt;$A$7,$A$7&lt;=MAX(DemoHistory[Date])),$A$8,1))</f>
        <v/>
      </c>
      <c r="E744" s="166" t="str">
        <f t="shared" si="30"/>
        <v/>
      </c>
      <c r="F744" s="166" t="str">
        <f>IF($A744&gt;MIN($A$10,$A$2),"",IF($A744&lt;50,"n.a.",IF(COUNT(INDEX(StockDaily[Adjusted close],MAX(1,$A744-50+1)):E744)=50,AVERAGE(INDEX(StockDaily[Adjusted close],MAX(1,$A744-50+1)):E744),"n.a.")))</f>
        <v/>
      </c>
      <c r="G744" s="166" t="str">
        <f>IF($A744&gt;MIN($A$10,$A$2),"",IF($A744&lt;200,"n.a.",IF(COUNT(INDEX(StockDaily[Adjusted close],MAX(1,$A744-200+1)):E744)=200,AVERAGE(INDEX(StockDaily[Adjusted close],MAX(1,$A744-200+1)):E744),"n.a.")))</f>
        <v/>
      </c>
      <c r="H744" s="136" t="str">
        <f>IF($A744&gt;MIN($A$10,$A$2),"",IF($A$5="","Choose stock",IF(NOT($A$12),"Check split rule",IF(NOT(ISNUMBER(B744)),"Invalid date",IF(OR(B744&lt;=0,B744&lt;&gt;INT(B744)),"Invalid date",IF(COUNTIFS(DemoHistory[Date],B744)&lt;&gt;1,"Duplicate date",IF(AND($A744&gt;1,B744&lt;=B743),"Dates out of order",IF(NOT(ISNUMBER(C744)),"Missing price",IF(C744&lt;=0,"Nonpositive price","OK")))))))))</f>
        <v/>
      </c>
      <c r="I744" s="136"/>
      <c r="J744" s="136"/>
      <c r="K744" s="136"/>
      <c r="L744" s="136"/>
      <c r="M744" s="136"/>
      <c r="N744" s="136" t="e">
        <f t="shared" si="31"/>
        <v>#N/A</v>
      </c>
      <c r="O744" s="136" t="e">
        <f t="shared" si="32"/>
        <v>#N/A</v>
      </c>
    </row>
    <row r="745" spans="1:15" ht="22.05" customHeight="1" x14ac:dyDescent="0.3">
      <c r="A745" s="136">
        <v>701</v>
      </c>
      <c r="B745" s="165" t="str">
        <f>IF($A745&gt;MIN($A$10,$A$2),"",INDEX(DemoHistory[Date],$A745))</f>
        <v/>
      </c>
      <c r="C745" s="166" t="str">
        <f>IF(OR($A745&gt;MIN($A$10,$A$2),$A$5=""),"",INDEX(DemoHistory[],$A745,MATCH($A$5,DemoHistory[#Headers],0)))</f>
        <v/>
      </c>
      <c r="D745" s="166" t="str">
        <f>IF($A745&gt;MIN($A$10,$A$2),"",IF(AND($A$12,$A$6=1,B745&lt;$A$7,$A$7&lt;=MAX(DemoHistory[Date])),$A$8,1))</f>
        <v/>
      </c>
      <c r="E745" s="166" t="str">
        <f t="shared" si="30"/>
        <v/>
      </c>
      <c r="F745" s="166" t="str">
        <f>IF($A745&gt;MIN($A$10,$A$2),"",IF($A745&lt;50,"n.a.",IF(COUNT(INDEX(StockDaily[Adjusted close],MAX(1,$A745-50+1)):E745)=50,AVERAGE(INDEX(StockDaily[Adjusted close],MAX(1,$A745-50+1)):E745),"n.a.")))</f>
        <v/>
      </c>
      <c r="G745" s="166" t="str">
        <f>IF($A745&gt;MIN($A$10,$A$2),"",IF($A745&lt;200,"n.a.",IF(COUNT(INDEX(StockDaily[Adjusted close],MAX(1,$A745-200+1)):E745)=200,AVERAGE(INDEX(StockDaily[Adjusted close],MAX(1,$A745-200+1)):E745),"n.a.")))</f>
        <v/>
      </c>
      <c r="H745" s="136" t="str">
        <f>IF($A745&gt;MIN($A$10,$A$2),"",IF($A$5="","Choose stock",IF(NOT($A$12),"Check split rule",IF(NOT(ISNUMBER(B745)),"Invalid date",IF(OR(B745&lt;=0,B745&lt;&gt;INT(B745)),"Invalid date",IF(COUNTIFS(DemoHistory[Date],B745)&lt;&gt;1,"Duplicate date",IF(AND($A745&gt;1,B745&lt;=B744),"Dates out of order",IF(NOT(ISNUMBER(C745)),"Missing price",IF(C745&lt;=0,"Nonpositive price","OK")))))))))</f>
        <v/>
      </c>
      <c r="I745" s="136"/>
      <c r="J745" s="136"/>
      <c r="K745" s="136"/>
      <c r="L745" s="136"/>
      <c r="M745" s="136"/>
      <c r="N745" s="136" t="e">
        <f t="shared" si="31"/>
        <v>#N/A</v>
      </c>
      <c r="O745" s="136" t="e">
        <f t="shared" si="32"/>
        <v>#N/A</v>
      </c>
    </row>
    <row r="746" spans="1:15" ht="22.05" customHeight="1" x14ac:dyDescent="0.3">
      <c r="A746" s="136">
        <v>702</v>
      </c>
      <c r="B746" s="165" t="str">
        <f>IF($A746&gt;MIN($A$10,$A$2),"",INDEX(DemoHistory[Date],$A746))</f>
        <v/>
      </c>
      <c r="C746" s="166" t="str">
        <f>IF(OR($A746&gt;MIN($A$10,$A$2),$A$5=""),"",INDEX(DemoHistory[],$A746,MATCH($A$5,DemoHistory[#Headers],0)))</f>
        <v/>
      </c>
      <c r="D746" s="166" t="str">
        <f>IF($A746&gt;MIN($A$10,$A$2),"",IF(AND($A$12,$A$6=1,B746&lt;$A$7,$A$7&lt;=MAX(DemoHistory[Date])),$A$8,1))</f>
        <v/>
      </c>
      <c r="E746" s="166" t="str">
        <f t="shared" si="30"/>
        <v/>
      </c>
      <c r="F746" s="166" t="str">
        <f>IF($A746&gt;MIN($A$10,$A$2),"",IF($A746&lt;50,"n.a.",IF(COUNT(INDEX(StockDaily[Adjusted close],MAX(1,$A746-50+1)):E746)=50,AVERAGE(INDEX(StockDaily[Adjusted close],MAX(1,$A746-50+1)):E746),"n.a.")))</f>
        <v/>
      </c>
      <c r="G746" s="166" t="str">
        <f>IF($A746&gt;MIN($A$10,$A$2),"",IF($A746&lt;200,"n.a.",IF(COUNT(INDEX(StockDaily[Adjusted close],MAX(1,$A746-200+1)):E746)=200,AVERAGE(INDEX(StockDaily[Adjusted close],MAX(1,$A746-200+1)):E746),"n.a.")))</f>
        <v/>
      </c>
      <c r="H746" s="136" t="str">
        <f>IF($A746&gt;MIN($A$10,$A$2),"",IF($A$5="","Choose stock",IF(NOT($A$12),"Check split rule",IF(NOT(ISNUMBER(B746)),"Invalid date",IF(OR(B746&lt;=0,B746&lt;&gt;INT(B746)),"Invalid date",IF(COUNTIFS(DemoHistory[Date],B746)&lt;&gt;1,"Duplicate date",IF(AND($A746&gt;1,B746&lt;=B745),"Dates out of order",IF(NOT(ISNUMBER(C746)),"Missing price",IF(C746&lt;=0,"Nonpositive price","OK")))))))))</f>
        <v/>
      </c>
      <c r="I746" s="136"/>
      <c r="J746" s="136"/>
      <c r="K746" s="136"/>
      <c r="L746" s="136"/>
      <c r="M746" s="136"/>
      <c r="N746" s="136" t="e">
        <f t="shared" si="31"/>
        <v>#N/A</v>
      </c>
      <c r="O746" s="136" t="e">
        <f t="shared" si="32"/>
        <v>#N/A</v>
      </c>
    </row>
    <row r="747" spans="1:15" ht="22.05" customHeight="1" x14ac:dyDescent="0.3">
      <c r="A747" s="136">
        <v>703</v>
      </c>
      <c r="B747" s="165" t="str">
        <f>IF($A747&gt;MIN($A$10,$A$2),"",INDEX(DemoHistory[Date],$A747))</f>
        <v/>
      </c>
      <c r="C747" s="166" t="str">
        <f>IF(OR($A747&gt;MIN($A$10,$A$2),$A$5=""),"",INDEX(DemoHistory[],$A747,MATCH($A$5,DemoHistory[#Headers],0)))</f>
        <v/>
      </c>
      <c r="D747" s="166" t="str">
        <f>IF($A747&gt;MIN($A$10,$A$2),"",IF(AND($A$12,$A$6=1,B747&lt;$A$7,$A$7&lt;=MAX(DemoHistory[Date])),$A$8,1))</f>
        <v/>
      </c>
      <c r="E747" s="166" t="str">
        <f t="shared" si="30"/>
        <v/>
      </c>
      <c r="F747" s="166" t="str">
        <f>IF($A747&gt;MIN($A$10,$A$2),"",IF($A747&lt;50,"n.a.",IF(COUNT(INDEX(StockDaily[Adjusted close],MAX(1,$A747-50+1)):E747)=50,AVERAGE(INDEX(StockDaily[Adjusted close],MAX(1,$A747-50+1)):E747),"n.a.")))</f>
        <v/>
      </c>
      <c r="G747" s="166" t="str">
        <f>IF($A747&gt;MIN($A$10,$A$2),"",IF($A747&lt;200,"n.a.",IF(COUNT(INDEX(StockDaily[Adjusted close],MAX(1,$A747-200+1)):E747)=200,AVERAGE(INDEX(StockDaily[Adjusted close],MAX(1,$A747-200+1)):E747),"n.a.")))</f>
        <v/>
      </c>
      <c r="H747" s="136" t="str">
        <f>IF($A747&gt;MIN($A$10,$A$2),"",IF($A$5="","Choose stock",IF(NOT($A$12),"Check split rule",IF(NOT(ISNUMBER(B747)),"Invalid date",IF(OR(B747&lt;=0,B747&lt;&gt;INT(B747)),"Invalid date",IF(COUNTIFS(DemoHistory[Date],B747)&lt;&gt;1,"Duplicate date",IF(AND($A747&gt;1,B747&lt;=B746),"Dates out of order",IF(NOT(ISNUMBER(C747)),"Missing price",IF(C747&lt;=0,"Nonpositive price","OK")))))))))</f>
        <v/>
      </c>
      <c r="I747" s="136"/>
      <c r="J747" s="136"/>
      <c r="K747" s="136"/>
      <c r="L747" s="136"/>
      <c r="M747" s="136"/>
      <c r="N747" s="136" t="e">
        <f t="shared" si="31"/>
        <v>#N/A</v>
      </c>
      <c r="O747" s="136" t="e">
        <f t="shared" si="32"/>
        <v>#N/A</v>
      </c>
    </row>
    <row r="748" spans="1:15" ht="22.05" customHeight="1" x14ac:dyDescent="0.3">
      <c r="A748" s="136">
        <v>704</v>
      </c>
      <c r="B748" s="165" t="str">
        <f>IF($A748&gt;MIN($A$10,$A$2),"",INDEX(DemoHistory[Date],$A748))</f>
        <v/>
      </c>
      <c r="C748" s="166" t="str">
        <f>IF(OR($A748&gt;MIN($A$10,$A$2),$A$5=""),"",INDEX(DemoHistory[],$A748,MATCH($A$5,DemoHistory[#Headers],0)))</f>
        <v/>
      </c>
      <c r="D748" s="166" t="str">
        <f>IF($A748&gt;MIN($A$10,$A$2),"",IF(AND($A$12,$A$6=1,B748&lt;$A$7,$A$7&lt;=MAX(DemoHistory[Date])),$A$8,1))</f>
        <v/>
      </c>
      <c r="E748" s="166" t="str">
        <f t="shared" si="30"/>
        <v/>
      </c>
      <c r="F748" s="166" t="str">
        <f>IF($A748&gt;MIN($A$10,$A$2),"",IF($A748&lt;50,"n.a.",IF(COUNT(INDEX(StockDaily[Adjusted close],MAX(1,$A748-50+1)):E748)=50,AVERAGE(INDEX(StockDaily[Adjusted close],MAX(1,$A748-50+1)):E748),"n.a.")))</f>
        <v/>
      </c>
      <c r="G748" s="166" t="str">
        <f>IF($A748&gt;MIN($A$10,$A$2),"",IF($A748&lt;200,"n.a.",IF(COUNT(INDEX(StockDaily[Adjusted close],MAX(1,$A748-200+1)):E748)=200,AVERAGE(INDEX(StockDaily[Adjusted close],MAX(1,$A748-200+1)):E748),"n.a.")))</f>
        <v/>
      </c>
      <c r="H748" s="136" t="str">
        <f>IF($A748&gt;MIN($A$10,$A$2),"",IF($A$5="","Choose stock",IF(NOT($A$12),"Check split rule",IF(NOT(ISNUMBER(B748)),"Invalid date",IF(OR(B748&lt;=0,B748&lt;&gt;INT(B748)),"Invalid date",IF(COUNTIFS(DemoHistory[Date],B748)&lt;&gt;1,"Duplicate date",IF(AND($A748&gt;1,B748&lt;=B747),"Dates out of order",IF(NOT(ISNUMBER(C748)),"Missing price",IF(C748&lt;=0,"Nonpositive price","OK")))))))))</f>
        <v/>
      </c>
      <c r="I748" s="136"/>
      <c r="J748" s="136"/>
      <c r="K748" s="136"/>
      <c r="L748" s="136"/>
      <c r="M748" s="136"/>
      <c r="N748" s="136" t="e">
        <f t="shared" si="31"/>
        <v>#N/A</v>
      </c>
      <c r="O748" s="136" t="e">
        <f t="shared" si="32"/>
        <v>#N/A</v>
      </c>
    </row>
    <row r="749" spans="1:15" ht="22.05" customHeight="1" x14ac:dyDescent="0.3">
      <c r="A749" s="136">
        <v>705</v>
      </c>
      <c r="B749" s="165" t="str">
        <f>IF($A749&gt;MIN($A$10,$A$2),"",INDEX(DemoHistory[Date],$A749))</f>
        <v/>
      </c>
      <c r="C749" s="166" t="str">
        <f>IF(OR($A749&gt;MIN($A$10,$A$2),$A$5=""),"",INDEX(DemoHistory[],$A749,MATCH($A$5,DemoHistory[#Headers],0)))</f>
        <v/>
      </c>
      <c r="D749" s="166" t="str">
        <f>IF($A749&gt;MIN($A$10,$A$2),"",IF(AND($A$12,$A$6=1,B749&lt;$A$7,$A$7&lt;=MAX(DemoHistory[Date])),$A$8,1))</f>
        <v/>
      </c>
      <c r="E749" s="166" t="str">
        <f t="shared" ref="E749:E812" si="33">IF($A749&gt;MIN($A$10,$A$2),"",IF(H749="OK",C749/D749,"n.a."))</f>
        <v/>
      </c>
      <c r="F749" s="166" t="str">
        <f>IF($A749&gt;MIN($A$10,$A$2),"",IF($A749&lt;50,"n.a.",IF(COUNT(INDEX(StockDaily[Adjusted close],MAX(1,$A749-50+1)):E749)=50,AVERAGE(INDEX(StockDaily[Adjusted close],MAX(1,$A749-50+1)):E749),"n.a.")))</f>
        <v/>
      </c>
      <c r="G749" s="166" t="str">
        <f>IF($A749&gt;MIN($A$10,$A$2),"",IF($A749&lt;200,"n.a.",IF(COUNT(INDEX(StockDaily[Adjusted close],MAX(1,$A749-200+1)):E749)=200,AVERAGE(INDEX(StockDaily[Adjusted close],MAX(1,$A749-200+1)):E749),"n.a.")))</f>
        <v/>
      </c>
      <c r="H749" s="136" t="str">
        <f>IF($A749&gt;MIN($A$10,$A$2),"",IF($A$5="","Choose stock",IF(NOT($A$12),"Check split rule",IF(NOT(ISNUMBER(B749)),"Invalid date",IF(OR(B749&lt;=0,B749&lt;&gt;INT(B749)),"Invalid date",IF(COUNTIFS(DemoHistory[Date],B749)&lt;&gt;1,"Duplicate date",IF(AND($A749&gt;1,B749&lt;=B748),"Dates out of order",IF(NOT(ISNUMBER(C749)),"Missing price",IF(C749&lt;=0,"Nonpositive price","OK")))))))))</f>
        <v/>
      </c>
      <c r="I749" s="136"/>
      <c r="J749" s="136"/>
      <c r="K749" s="136"/>
      <c r="L749" s="136"/>
      <c r="M749" s="136"/>
      <c r="N749" s="136" t="e">
        <f t="shared" ref="N749:N812" si="34">IF(AND($A$13="Ready",ISNUMBER(E749)),E749,NA())</f>
        <v>#N/A</v>
      </c>
      <c r="O749" s="136" t="e">
        <f t="shared" ref="O749:O812" si="35">IF(AND($A$13="Ready",ISNUMBER(F749)),F749,NA())</f>
        <v>#N/A</v>
      </c>
    </row>
    <row r="750" spans="1:15" ht="22.05" customHeight="1" x14ac:dyDescent="0.3">
      <c r="A750" s="136">
        <v>706</v>
      </c>
      <c r="B750" s="165" t="str">
        <f>IF($A750&gt;MIN($A$10,$A$2),"",INDEX(DemoHistory[Date],$A750))</f>
        <v/>
      </c>
      <c r="C750" s="166" t="str">
        <f>IF(OR($A750&gt;MIN($A$10,$A$2),$A$5=""),"",INDEX(DemoHistory[],$A750,MATCH($A$5,DemoHistory[#Headers],0)))</f>
        <v/>
      </c>
      <c r="D750" s="166" t="str">
        <f>IF($A750&gt;MIN($A$10,$A$2),"",IF(AND($A$12,$A$6=1,B750&lt;$A$7,$A$7&lt;=MAX(DemoHistory[Date])),$A$8,1))</f>
        <v/>
      </c>
      <c r="E750" s="166" t="str">
        <f t="shared" si="33"/>
        <v/>
      </c>
      <c r="F750" s="166" t="str">
        <f>IF($A750&gt;MIN($A$10,$A$2),"",IF($A750&lt;50,"n.a.",IF(COUNT(INDEX(StockDaily[Adjusted close],MAX(1,$A750-50+1)):E750)=50,AVERAGE(INDEX(StockDaily[Adjusted close],MAX(1,$A750-50+1)):E750),"n.a.")))</f>
        <v/>
      </c>
      <c r="G750" s="166" t="str">
        <f>IF($A750&gt;MIN($A$10,$A$2),"",IF($A750&lt;200,"n.a.",IF(COUNT(INDEX(StockDaily[Adjusted close],MAX(1,$A750-200+1)):E750)=200,AVERAGE(INDEX(StockDaily[Adjusted close],MAX(1,$A750-200+1)):E750),"n.a.")))</f>
        <v/>
      </c>
      <c r="H750" s="136" t="str">
        <f>IF($A750&gt;MIN($A$10,$A$2),"",IF($A$5="","Choose stock",IF(NOT($A$12),"Check split rule",IF(NOT(ISNUMBER(B750)),"Invalid date",IF(OR(B750&lt;=0,B750&lt;&gt;INT(B750)),"Invalid date",IF(COUNTIFS(DemoHistory[Date],B750)&lt;&gt;1,"Duplicate date",IF(AND($A750&gt;1,B750&lt;=B749),"Dates out of order",IF(NOT(ISNUMBER(C750)),"Missing price",IF(C750&lt;=0,"Nonpositive price","OK")))))))))</f>
        <v/>
      </c>
      <c r="I750" s="136"/>
      <c r="J750" s="136"/>
      <c r="K750" s="136"/>
      <c r="L750" s="136"/>
      <c r="M750" s="136"/>
      <c r="N750" s="136" t="e">
        <f t="shared" si="34"/>
        <v>#N/A</v>
      </c>
      <c r="O750" s="136" t="e">
        <f t="shared" si="35"/>
        <v>#N/A</v>
      </c>
    </row>
    <row r="751" spans="1:15" ht="22.05" customHeight="1" x14ac:dyDescent="0.3">
      <c r="A751" s="136">
        <v>707</v>
      </c>
      <c r="B751" s="165" t="str">
        <f>IF($A751&gt;MIN($A$10,$A$2),"",INDEX(DemoHistory[Date],$A751))</f>
        <v/>
      </c>
      <c r="C751" s="166" t="str">
        <f>IF(OR($A751&gt;MIN($A$10,$A$2),$A$5=""),"",INDEX(DemoHistory[],$A751,MATCH($A$5,DemoHistory[#Headers],0)))</f>
        <v/>
      </c>
      <c r="D751" s="166" t="str">
        <f>IF($A751&gt;MIN($A$10,$A$2),"",IF(AND($A$12,$A$6=1,B751&lt;$A$7,$A$7&lt;=MAX(DemoHistory[Date])),$A$8,1))</f>
        <v/>
      </c>
      <c r="E751" s="166" t="str">
        <f t="shared" si="33"/>
        <v/>
      </c>
      <c r="F751" s="166" t="str">
        <f>IF($A751&gt;MIN($A$10,$A$2),"",IF($A751&lt;50,"n.a.",IF(COUNT(INDEX(StockDaily[Adjusted close],MAX(1,$A751-50+1)):E751)=50,AVERAGE(INDEX(StockDaily[Adjusted close],MAX(1,$A751-50+1)):E751),"n.a.")))</f>
        <v/>
      </c>
      <c r="G751" s="166" t="str">
        <f>IF($A751&gt;MIN($A$10,$A$2),"",IF($A751&lt;200,"n.a.",IF(COUNT(INDEX(StockDaily[Adjusted close],MAX(1,$A751-200+1)):E751)=200,AVERAGE(INDEX(StockDaily[Adjusted close],MAX(1,$A751-200+1)):E751),"n.a.")))</f>
        <v/>
      </c>
      <c r="H751" s="136" t="str">
        <f>IF($A751&gt;MIN($A$10,$A$2),"",IF($A$5="","Choose stock",IF(NOT($A$12),"Check split rule",IF(NOT(ISNUMBER(B751)),"Invalid date",IF(OR(B751&lt;=0,B751&lt;&gt;INT(B751)),"Invalid date",IF(COUNTIFS(DemoHistory[Date],B751)&lt;&gt;1,"Duplicate date",IF(AND($A751&gt;1,B751&lt;=B750),"Dates out of order",IF(NOT(ISNUMBER(C751)),"Missing price",IF(C751&lt;=0,"Nonpositive price","OK")))))))))</f>
        <v/>
      </c>
      <c r="I751" s="136"/>
      <c r="J751" s="136"/>
      <c r="K751" s="136"/>
      <c r="L751" s="136"/>
      <c r="M751" s="136"/>
      <c r="N751" s="136" t="e">
        <f t="shared" si="34"/>
        <v>#N/A</v>
      </c>
      <c r="O751" s="136" t="e">
        <f t="shared" si="35"/>
        <v>#N/A</v>
      </c>
    </row>
    <row r="752" spans="1:15" ht="22.05" customHeight="1" x14ac:dyDescent="0.3">
      <c r="A752" s="136">
        <v>708</v>
      </c>
      <c r="B752" s="165" t="str">
        <f>IF($A752&gt;MIN($A$10,$A$2),"",INDEX(DemoHistory[Date],$A752))</f>
        <v/>
      </c>
      <c r="C752" s="166" t="str">
        <f>IF(OR($A752&gt;MIN($A$10,$A$2),$A$5=""),"",INDEX(DemoHistory[],$A752,MATCH($A$5,DemoHistory[#Headers],0)))</f>
        <v/>
      </c>
      <c r="D752" s="166" t="str">
        <f>IF($A752&gt;MIN($A$10,$A$2),"",IF(AND($A$12,$A$6=1,B752&lt;$A$7,$A$7&lt;=MAX(DemoHistory[Date])),$A$8,1))</f>
        <v/>
      </c>
      <c r="E752" s="166" t="str">
        <f t="shared" si="33"/>
        <v/>
      </c>
      <c r="F752" s="166" t="str">
        <f>IF($A752&gt;MIN($A$10,$A$2),"",IF($A752&lt;50,"n.a.",IF(COUNT(INDEX(StockDaily[Adjusted close],MAX(1,$A752-50+1)):E752)=50,AVERAGE(INDEX(StockDaily[Adjusted close],MAX(1,$A752-50+1)):E752),"n.a.")))</f>
        <v/>
      </c>
      <c r="G752" s="166" t="str">
        <f>IF($A752&gt;MIN($A$10,$A$2),"",IF($A752&lt;200,"n.a.",IF(COUNT(INDEX(StockDaily[Adjusted close],MAX(1,$A752-200+1)):E752)=200,AVERAGE(INDEX(StockDaily[Adjusted close],MAX(1,$A752-200+1)):E752),"n.a.")))</f>
        <v/>
      </c>
      <c r="H752" s="136" t="str">
        <f>IF($A752&gt;MIN($A$10,$A$2),"",IF($A$5="","Choose stock",IF(NOT($A$12),"Check split rule",IF(NOT(ISNUMBER(B752)),"Invalid date",IF(OR(B752&lt;=0,B752&lt;&gt;INT(B752)),"Invalid date",IF(COUNTIFS(DemoHistory[Date],B752)&lt;&gt;1,"Duplicate date",IF(AND($A752&gt;1,B752&lt;=B751),"Dates out of order",IF(NOT(ISNUMBER(C752)),"Missing price",IF(C752&lt;=0,"Nonpositive price","OK")))))))))</f>
        <v/>
      </c>
      <c r="I752" s="136"/>
      <c r="J752" s="136"/>
      <c r="K752" s="136"/>
      <c r="L752" s="136"/>
      <c r="M752" s="136"/>
      <c r="N752" s="136" t="e">
        <f t="shared" si="34"/>
        <v>#N/A</v>
      </c>
      <c r="O752" s="136" t="e">
        <f t="shared" si="35"/>
        <v>#N/A</v>
      </c>
    </row>
    <row r="753" spans="1:15" ht="22.05" customHeight="1" x14ac:dyDescent="0.3">
      <c r="A753" s="136">
        <v>709</v>
      </c>
      <c r="B753" s="165" t="str">
        <f>IF($A753&gt;MIN($A$10,$A$2),"",INDEX(DemoHistory[Date],$A753))</f>
        <v/>
      </c>
      <c r="C753" s="166" t="str">
        <f>IF(OR($A753&gt;MIN($A$10,$A$2),$A$5=""),"",INDEX(DemoHistory[],$A753,MATCH($A$5,DemoHistory[#Headers],0)))</f>
        <v/>
      </c>
      <c r="D753" s="166" t="str">
        <f>IF($A753&gt;MIN($A$10,$A$2),"",IF(AND($A$12,$A$6=1,B753&lt;$A$7,$A$7&lt;=MAX(DemoHistory[Date])),$A$8,1))</f>
        <v/>
      </c>
      <c r="E753" s="166" t="str">
        <f t="shared" si="33"/>
        <v/>
      </c>
      <c r="F753" s="166" t="str">
        <f>IF($A753&gt;MIN($A$10,$A$2),"",IF($A753&lt;50,"n.a.",IF(COUNT(INDEX(StockDaily[Adjusted close],MAX(1,$A753-50+1)):E753)=50,AVERAGE(INDEX(StockDaily[Adjusted close],MAX(1,$A753-50+1)):E753),"n.a.")))</f>
        <v/>
      </c>
      <c r="G753" s="166" t="str">
        <f>IF($A753&gt;MIN($A$10,$A$2),"",IF($A753&lt;200,"n.a.",IF(COUNT(INDEX(StockDaily[Adjusted close],MAX(1,$A753-200+1)):E753)=200,AVERAGE(INDEX(StockDaily[Adjusted close],MAX(1,$A753-200+1)):E753),"n.a.")))</f>
        <v/>
      </c>
      <c r="H753" s="136" t="str">
        <f>IF($A753&gt;MIN($A$10,$A$2),"",IF($A$5="","Choose stock",IF(NOT($A$12),"Check split rule",IF(NOT(ISNUMBER(B753)),"Invalid date",IF(OR(B753&lt;=0,B753&lt;&gt;INT(B753)),"Invalid date",IF(COUNTIFS(DemoHistory[Date],B753)&lt;&gt;1,"Duplicate date",IF(AND($A753&gt;1,B753&lt;=B752),"Dates out of order",IF(NOT(ISNUMBER(C753)),"Missing price",IF(C753&lt;=0,"Nonpositive price","OK")))))))))</f>
        <v/>
      </c>
      <c r="I753" s="136"/>
      <c r="J753" s="136"/>
      <c r="K753" s="136"/>
      <c r="L753" s="136"/>
      <c r="M753" s="136"/>
      <c r="N753" s="136" t="e">
        <f t="shared" si="34"/>
        <v>#N/A</v>
      </c>
      <c r="O753" s="136" t="e">
        <f t="shared" si="35"/>
        <v>#N/A</v>
      </c>
    </row>
    <row r="754" spans="1:15" ht="22.05" customHeight="1" x14ac:dyDescent="0.3">
      <c r="A754" s="136">
        <v>710</v>
      </c>
      <c r="B754" s="165" t="str">
        <f>IF($A754&gt;MIN($A$10,$A$2),"",INDEX(DemoHistory[Date],$A754))</f>
        <v/>
      </c>
      <c r="C754" s="166" t="str">
        <f>IF(OR($A754&gt;MIN($A$10,$A$2),$A$5=""),"",INDEX(DemoHistory[],$A754,MATCH($A$5,DemoHistory[#Headers],0)))</f>
        <v/>
      </c>
      <c r="D754" s="166" t="str">
        <f>IF($A754&gt;MIN($A$10,$A$2),"",IF(AND($A$12,$A$6=1,B754&lt;$A$7,$A$7&lt;=MAX(DemoHistory[Date])),$A$8,1))</f>
        <v/>
      </c>
      <c r="E754" s="166" t="str">
        <f t="shared" si="33"/>
        <v/>
      </c>
      <c r="F754" s="166" t="str">
        <f>IF($A754&gt;MIN($A$10,$A$2),"",IF($A754&lt;50,"n.a.",IF(COUNT(INDEX(StockDaily[Adjusted close],MAX(1,$A754-50+1)):E754)=50,AVERAGE(INDEX(StockDaily[Adjusted close],MAX(1,$A754-50+1)):E754),"n.a.")))</f>
        <v/>
      </c>
      <c r="G754" s="166" t="str">
        <f>IF($A754&gt;MIN($A$10,$A$2),"",IF($A754&lt;200,"n.a.",IF(COUNT(INDEX(StockDaily[Adjusted close],MAX(1,$A754-200+1)):E754)=200,AVERAGE(INDEX(StockDaily[Adjusted close],MAX(1,$A754-200+1)):E754),"n.a.")))</f>
        <v/>
      </c>
      <c r="H754" s="136" t="str">
        <f>IF($A754&gt;MIN($A$10,$A$2),"",IF($A$5="","Choose stock",IF(NOT($A$12),"Check split rule",IF(NOT(ISNUMBER(B754)),"Invalid date",IF(OR(B754&lt;=0,B754&lt;&gt;INT(B754)),"Invalid date",IF(COUNTIFS(DemoHistory[Date],B754)&lt;&gt;1,"Duplicate date",IF(AND($A754&gt;1,B754&lt;=B753),"Dates out of order",IF(NOT(ISNUMBER(C754)),"Missing price",IF(C754&lt;=0,"Nonpositive price","OK")))))))))</f>
        <v/>
      </c>
      <c r="I754" s="136"/>
      <c r="J754" s="136"/>
      <c r="K754" s="136"/>
      <c r="L754" s="136"/>
      <c r="M754" s="136"/>
      <c r="N754" s="136" t="e">
        <f t="shared" si="34"/>
        <v>#N/A</v>
      </c>
      <c r="O754" s="136" t="e">
        <f t="shared" si="35"/>
        <v>#N/A</v>
      </c>
    </row>
    <row r="755" spans="1:15" ht="22.05" customHeight="1" x14ac:dyDescent="0.3">
      <c r="A755" s="136">
        <v>711</v>
      </c>
      <c r="B755" s="165" t="str">
        <f>IF($A755&gt;MIN($A$10,$A$2),"",INDEX(DemoHistory[Date],$A755))</f>
        <v/>
      </c>
      <c r="C755" s="166" t="str">
        <f>IF(OR($A755&gt;MIN($A$10,$A$2),$A$5=""),"",INDEX(DemoHistory[],$A755,MATCH($A$5,DemoHistory[#Headers],0)))</f>
        <v/>
      </c>
      <c r="D755" s="166" t="str">
        <f>IF($A755&gt;MIN($A$10,$A$2),"",IF(AND($A$12,$A$6=1,B755&lt;$A$7,$A$7&lt;=MAX(DemoHistory[Date])),$A$8,1))</f>
        <v/>
      </c>
      <c r="E755" s="166" t="str">
        <f t="shared" si="33"/>
        <v/>
      </c>
      <c r="F755" s="166" t="str">
        <f>IF($A755&gt;MIN($A$10,$A$2),"",IF($A755&lt;50,"n.a.",IF(COUNT(INDEX(StockDaily[Adjusted close],MAX(1,$A755-50+1)):E755)=50,AVERAGE(INDEX(StockDaily[Adjusted close],MAX(1,$A755-50+1)):E755),"n.a.")))</f>
        <v/>
      </c>
      <c r="G755" s="166" t="str">
        <f>IF($A755&gt;MIN($A$10,$A$2),"",IF($A755&lt;200,"n.a.",IF(COUNT(INDEX(StockDaily[Adjusted close],MAX(1,$A755-200+1)):E755)=200,AVERAGE(INDEX(StockDaily[Adjusted close],MAX(1,$A755-200+1)):E755),"n.a.")))</f>
        <v/>
      </c>
      <c r="H755" s="136" t="str">
        <f>IF($A755&gt;MIN($A$10,$A$2),"",IF($A$5="","Choose stock",IF(NOT($A$12),"Check split rule",IF(NOT(ISNUMBER(B755)),"Invalid date",IF(OR(B755&lt;=0,B755&lt;&gt;INT(B755)),"Invalid date",IF(COUNTIFS(DemoHistory[Date],B755)&lt;&gt;1,"Duplicate date",IF(AND($A755&gt;1,B755&lt;=B754),"Dates out of order",IF(NOT(ISNUMBER(C755)),"Missing price",IF(C755&lt;=0,"Nonpositive price","OK")))))))))</f>
        <v/>
      </c>
      <c r="I755" s="136"/>
      <c r="J755" s="136"/>
      <c r="K755" s="136"/>
      <c r="L755" s="136"/>
      <c r="M755" s="136"/>
      <c r="N755" s="136" t="e">
        <f t="shared" si="34"/>
        <v>#N/A</v>
      </c>
      <c r="O755" s="136" t="e">
        <f t="shared" si="35"/>
        <v>#N/A</v>
      </c>
    </row>
    <row r="756" spans="1:15" ht="22.05" customHeight="1" x14ac:dyDescent="0.3">
      <c r="A756" s="136">
        <v>712</v>
      </c>
      <c r="B756" s="165" t="str">
        <f>IF($A756&gt;MIN($A$10,$A$2),"",INDEX(DemoHistory[Date],$A756))</f>
        <v/>
      </c>
      <c r="C756" s="166" t="str">
        <f>IF(OR($A756&gt;MIN($A$10,$A$2),$A$5=""),"",INDEX(DemoHistory[],$A756,MATCH($A$5,DemoHistory[#Headers],0)))</f>
        <v/>
      </c>
      <c r="D756" s="166" t="str">
        <f>IF($A756&gt;MIN($A$10,$A$2),"",IF(AND($A$12,$A$6=1,B756&lt;$A$7,$A$7&lt;=MAX(DemoHistory[Date])),$A$8,1))</f>
        <v/>
      </c>
      <c r="E756" s="166" t="str">
        <f t="shared" si="33"/>
        <v/>
      </c>
      <c r="F756" s="166" t="str">
        <f>IF($A756&gt;MIN($A$10,$A$2),"",IF($A756&lt;50,"n.a.",IF(COUNT(INDEX(StockDaily[Adjusted close],MAX(1,$A756-50+1)):E756)=50,AVERAGE(INDEX(StockDaily[Adjusted close],MAX(1,$A756-50+1)):E756),"n.a.")))</f>
        <v/>
      </c>
      <c r="G756" s="166" t="str">
        <f>IF($A756&gt;MIN($A$10,$A$2),"",IF($A756&lt;200,"n.a.",IF(COUNT(INDEX(StockDaily[Adjusted close],MAX(1,$A756-200+1)):E756)=200,AVERAGE(INDEX(StockDaily[Adjusted close],MAX(1,$A756-200+1)):E756),"n.a.")))</f>
        <v/>
      </c>
      <c r="H756" s="136" t="str">
        <f>IF($A756&gt;MIN($A$10,$A$2),"",IF($A$5="","Choose stock",IF(NOT($A$12),"Check split rule",IF(NOT(ISNUMBER(B756)),"Invalid date",IF(OR(B756&lt;=0,B756&lt;&gt;INT(B756)),"Invalid date",IF(COUNTIFS(DemoHistory[Date],B756)&lt;&gt;1,"Duplicate date",IF(AND($A756&gt;1,B756&lt;=B755),"Dates out of order",IF(NOT(ISNUMBER(C756)),"Missing price",IF(C756&lt;=0,"Nonpositive price","OK")))))))))</f>
        <v/>
      </c>
      <c r="I756" s="136"/>
      <c r="J756" s="136"/>
      <c r="K756" s="136"/>
      <c r="L756" s="136"/>
      <c r="M756" s="136"/>
      <c r="N756" s="136" t="e">
        <f t="shared" si="34"/>
        <v>#N/A</v>
      </c>
      <c r="O756" s="136" t="e">
        <f t="shared" si="35"/>
        <v>#N/A</v>
      </c>
    </row>
    <row r="757" spans="1:15" ht="22.05" customHeight="1" x14ac:dyDescent="0.3">
      <c r="A757" s="136">
        <v>713</v>
      </c>
      <c r="B757" s="165" t="str">
        <f>IF($A757&gt;MIN($A$10,$A$2),"",INDEX(DemoHistory[Date],$A757))</f>
        <v/>
      </c>
      <c r="C757" s="166" t="str">
        <f>IF(OR($A757&gt;MIN($A$10,$A$2),$A$5=""),"",INDEX(DemoHistory[],$A757,MATCH($A$5,DemoHistory[#Headers],0)))</f>
        <v/>
      </c>
      <c r="D757" s="166" t="str">
        <f>IF($A757&gt;MIN($A$10,$A$2),"",IF(AND($A$12,$A$6=1,B757&lt;$A$7,$A$7&lt;=MAX(DemoHistory[Date])),$A$8,1))</f>
        <v/>
      </c>
      <c r="E757" s="166" t="str">
        <f t="shared" si="33"/>
        <v/>
      </c>
      <c r="F757" s="166" t="str">
        <f>IF($A757&gt;MIN($A$10,$A$2),"",IF($A757&lt;50,"n.a.",IF(COUNT(INDEX(StockDaily[Adjusted close],MAX(1,$A757-50+1)):E757)=50,AVERAGE(INDEX(StockDaily[Adjusted close],MAX(1,$A757-50+1)):E757),"n.a.")))</f>
        <v/>
      </c>
      <c r="G757" s="166" t="str">
        <f>IF($A757&gt;MIN($A$10,$A$2),"",IF($A757&lt;200,"n.a.",IF(COUNT(INDEX(StockDaily[Adjusted close],MAX(1,$A757-200+1)):E757)=200,AVERAGE(INDEX(StockDaily[Adjusted close],MAX(1,$A757-200+1)):E757),"n.a.")))</f>
        <v/>
      </c>
      <c r="H757" s="136" t="str">
        <f>IF($A757&gt;MIN($A$10,$A$2),"",IF($A$5="","Choose stock",IF(NOT($A$12),"Check split rule",IF(NOT(ISNUMBER(B757)),"Invalid date",IF(OR(B757&lt;=0,B757&lt;&gt;INT(B757)),"Invalid date",IF(COUNTIFS(DemoHistory[Date],B757)&lt;&gt;1,"Duplicate date",IF(AND($A757&gt;1,B757&lt;=B756),"Dates out of order",IF(NOT(ISNUMBER(C757)),"Missing price",IF(C757&lt;=0,"Nonpositive price","OK")))))))))</f>
        <v/>
      </c>
      <c r="I757" s="136"/>
      <c r="J757" s="136"/>
      <c r="K757" s="136"/>
      <c r="L757" s="136"/>
      <c r="M757" s="136"/>
      <c r="N757" s="136" t="e">
        <f t="shared" si="34"/>
        <v>#N/A</v>
      </c>
      <c r="O757" s="136" t="e">
        <f t="shared" si="35"/>
        <v>#N/A</v>
      </c>
    </row>
    <row r="758" spans="1:15" ht="22.05" customHeight="1" x14ac:dyDescent="0.3">
      <c r="A758" s="136">
        <v>714</v>
      </c>
      <c r="B758" s="165" t="str">
        <f>IF($A758&gt;MIN($A$10,$A$2),"",INDEX(DemoHistory[Date],$A758))</f>
        <v/>
      </c>
      <c r="C758" s="166" t="str">
        <f>IF(OR($A758&gt;MIN($A$10,$A$2),$A$5=""),"",INDEX(DemoHistory[],$A758,MATCH($A$5,DemoHistory[#Headers],0)))</f>
        <v/>
      </c>
      <c r="D758" s="166" t="str">
        <f>IF($A758&gt;MIN($A$10,$A$2),"",IF(AND($A$12,$A$6=1,B758&lt;$A$7,$A$7&lt;=MAX(DemoHistory[Date])),$A$8,1))</f>
        <v/>
      </c>
      <c r="E758" s="166" t="str">
        <f t="shared" si="33"/>
        <v/>
      </c>
      <c r="F758" s="166" t="str">
        <f>IF($A758&gt;MIN($A$10,$A$2),"",IF($A758&lt;50,"n.a.",IF(COUNT(INDEX(StockDaily[Adjusted close],MAX(1,$A758-50+1)):E758)=50,AVERAGE(INDEX(StockDaily[Adjusted close],MAX(1,$A758-50+1)):E758),"n.a.")))</f>
        <v/>
      </c>
      <c r="G758" s="166" t="str">
        <f>IF($A758&gt;MIN($A$10,$A$2),"",IF($A758&lt;200,"n.a.",IF(COUNT(INDEX(StockDaily[Adjusted close],MAX(1,$A758-200+1)):E758)=200,AVERAGE(INDEX(StockDaily[Adjusted close],MAX(1,$A758-200+1)):E758),"n.a.")))</f>
        <v/>
      </c>
      <c r="H758" s="136" t="str">
        <f>IF($A758&gt;MIN($A$10,$A$2),"",IF($A$5="","Choose stock",IF(NOT($A$12),"Check split rule",IF(NOT(ISNUMBER(B758)),"Invalid date",IF(OR(B758&lt;=0,B758&lt;&gt;INT(B758)),"Invalid date",IF(COUNTIFS(DemoHistory[Date],B758)&lt;&gt;1,"Duplicate date",IF(AND($A758&gt;1,B758&lt;=B757),"Dates out of order",IF(NOT(ISNUMBER(C758)),"Missing price",IF(C758&lt;=0,"Nonpositive price","OK")))))))))</f>
        <v/>
      </c>
      <c r="I758" s="136"/>
      <c r="J758" s="136"/>
      <c r="K758" s="136"/>
      <c r="L758" s="136"/>
      <c r="M758" s="136"/>
      <c r="N758" s="136" t="e">
        <f t="shared" si="34"/>
        <v>#N/A</v>
      </c>
      <c r="O758" s="136" t="e">
        <f t="shared" si="35"/>
        <v>#N/A</v>
      </c>
    </row>
    <row r="759" spans="1:15" ht="22.05" customHeight="1" x14ac:dyDescent="0.3">
      <c r="A759" s="136">
        <v>715</v>
      </c>
      <c r="B759" s="165" t="str">
        <f>IF($A759&gt;MIN($A$10,$A$2),"",INDEX(DemoHistory[Date],$A759))</f>
        <v/>
      </c>
      <c r="C759" s="166" t="str">
        <f>IF(OR($A759&gt;MIN($A$10,$A$2),$A$5=""),"",INDEX(DemoHistory[],$A759,MATCH($A$5,DemoHistory[#Headers],0)))</f>
        <v/>
      </c>
      <c r="D759" s="166" t="str">
        <f>IF($A759&gt;MIN($A$10,$A$2),"",IF(AND($A$12,$A$6=1,B759&lt;$A$7,$A$7&lt;=MAX(DemoHistory[Date])),$A$8,1))</f>
        <v/>
      </c>
      <c r="E759" s="166" t="str">
        <f t="shared" si="33"/>
        <v/>
      </c>
      <c r="F759" s="166" t="str">
        <f>IF($A759&gt;MIN($A$10,$A$2),"",IF($A759&lt;50,"n.a.",IF(COUNT(INDEX(StockDaily[Adjusted close],MAX(1,$A759-50+1)):E759)=50,AVERAGE(INDEX(StockDaily[Adjusted close],MAX(1,$A759-50+1)):E759),"n.a.")))</f>
        <v/>
      </c>
      <c r="G759" s="166" t="str">
        <f>IF($A759&gt;MIN($A$10,$A$2),"",IF($A759&lt;200,"n.a.",IF(COUNT(INDEX(StockDaily[Adjusted close],MAX(1,$A759-200+1)):E759)=200,AVERAGE(INDEX(StockDaily[Adjusted close],MAX(1,$A759-200+1)):E759),"n.a.")))</f>
        <v/>
      </c>
      <c r="H759" s="136" t="str">
        <f>IF($A759&gt;MIN($A$10,$A$2),"",IF($A$5="","Choose stock",IF(NOT($A$12),"Check split rule",IF(NOT(ISNUMBER(B759)),"Invalid date",IF(OR(B759&lt;=0,B759&lt;&gt;INT(B759)),"Invalid date",IF(COUNTIFS(DemoHistory[Date],B759)&lt;&gt;1,"Duplicate date",IF(AND($A759&gt;1,B759&lt;=B758),"Dates out of order",IF(NOT(ISNUMBER(C759)),"Missing price",IF(C759&lt;=0,"Nonpositive price","OK")))))))))</f>
        <v/>
      </c>
      <c r="I759" s="136"/>
      <c r="J759" s="136"/>
      <c r="K759" s="136"/>
      <c r="L759" s="136"/>
      <c r="M759" s="136"/>
      <c r="N759" s="136" t="e">
        <f t="shared" si="34"/>
        <v>#N/A</v>
      </c>
      <c r="O759" s="136" t="e">
        <f t="shared" si="35"/>
        <v>#N/A</v>
      </c>
    </row>
    <row r="760" spans="1:15" ht="22.05" customHeight="1" x14ac:dyDescent="0.3">
      <c r="A760" s="136">
        <v>716</v>
      </c>
      <c r="B760" s="165" t="str">
        <f>IF($A760&gt;MIN($A$10,$A$2),"",INDEX(DemoHistory[Date],$A760))</f>
        <v/>
      </c>
      <c r="C760" s="166" t="str">
        <f>IF(OR($A760&gt;MIN($A$10,$A$2),$A$5=""),"",INDEX(DemoHistory[],$A760,MATCH($A$5,DemoHistory[#Headers],0)))</f>
        <v/>
      </c>
      <c r="D760" s="166" t="str">
        <f>IF($A760&gt;MIN($A$10,$A$2),"",IF(AND($A$12,$A$6=1,B760&lt;$A$7,$A$7&lt;=MAX(DemoHistory[Date])),$A$8,1))</f>
        <v/>
      </c>
      <c r="E760" s="166" t="str">
        <f t="shared" si="33"/>
        <v/>
      </c>
      <c r="F760" s="166" t="str">
        <f>IF($A760&gt;MIN($A$10,$A$2),"",IF($A760&lt;50,"n.a.",IF(COUNT(INDEX(StockDaily[Adjusted close],MAX(1,$A760-50+1)):E760)=50,AVERAGE(INDEX(StockDaily[Adjusted close],MAX(1,$A760-50+1)):E760),"n.a.")))</f>
        <v/>
      </c>
      <c r="G760" s="166" t="str">
        <f>IF($A760&gt;MIN($A$10,$A$2),"",IF($A760&lt;200,"n.a.",IF(COUNT(INDEX(StockDaily[Adjusted close],MAX(1,$A760-200+1)):E760)=200,AVERAGE(INDEX(StockDaily[Adjusted close],MAX(1,$A760-200+1)):E760),"n.a.")))</f>
        <v/>
      </c>
      <c r="H760" s="136" t="str">
        <f>IF($A760&gt;MIN($A$10,$A$2),"",IF($A$5="","Choose stock",IF(NOT($A$12),"Check split rule",IF(NOT(ISNUMBER(B760)),"Invalid date",IF(OR(B760&lt;=0,B760&lt;&gt;INT(B760)),"Invalid date",IF(COUNTIFS(DemoHistory[Date],B760)&lt;&gt;1,"Duplicate date",IF(AND($A760&gt;1,B760&lt;=B759),"Dates out of order",IF(NOT(ISNUMBER(C760)),"Missing price",IF(C760&lt;=0,"Nonpositive price","OK")))))))))</f>
        <v/>
      </c>
      <c r="I760" s="136"/>
      <c r="J760" s="136"/>
      <c r="K760" s="136"/>
      <c r="L760" s="136"/>
      <c r="M760" s="136"/>
      <c r="N760" s="136" t="e">
        <f t="shared" si="34"/>
        <v>#N/A</v>
      </c>
      <c r="O760" s="136" t="e">
        <f t="shared" si="35"/>
        <v>#N/A</v>
      </c>
    </row>
    <row r="761" spans="1:15" ht="22.05" customHeight="1" x14ac:dyDescent="0.3">
      <c r="A761" s="136">
        <v>717</v>
      </c>
      <c r="B761" s="165" t="str">
        <f>IF($A761&gt;MIN($A$10,$A$2),"",INDEX(DemoHistory[Date],$A761))</f>
        <v/>
      </c>
      <c r="C761" s="166" t="str">
        <f>IF(OR($A761&gt;MIN($A$10,$A$2),$A$5=""),"",INDEX(DemoHistory[],$A761,MATCH($A$5,DemoHistory[#Headers],0)))</f>
        <v/>
      </c>
      <c r="D761" s="166" t="str">
        <f>IF($A761&gt;MIN($A$10,$A$2),"",IF(AND($A$12,$A$6=1,B761&lt;$A$7,$A$7&lt;=MAX(DemoHistory[Date])),$A$8,1))</f>
        <v/>
      </c>
      <c r="E761" s="166" t="str">
        <f t="shared" si="33"/>
        <v/>
      </c>
      <c r="F761" s="166" t="str">
        <f>IF($A761&gt;MIN($A$10,$A$2),"",IF($A761&lt;50,"n.a.",IF(COUNT(INDEX(StockDaily[Adjusted close],MAX(1,$A761-50+1)):E761)=50,AVERAGE(INDEX(StockDaily[Adjusted close],MAX(1,$A761-50+1)):E761),"n.a.")))</f>
        <v/>
      </c>
      <c r="G761" s="166" t="str">
        <f>IF($A761&gt;MIN($A$10,$A$2),"",IF($A761&lt;200,"n.a.",IF(COUNT(INDEX(StockDaily[Adjusted close],MAX(1,$A761-200+1)):E761)=200,AVERAGE(INDEX(StockDaily[Adjusted close],MAX(1,$A761-200+1)):E761),"n.a.")))</f>
        <v/>
      </c>
      <c r="H761" s="136" t="str">
        <f>IF($A761&gt;MIN($A$10,$A$2),"",IF($A$5="","Choose stock",IF(NOT($A$12),"Check split rule",IF(NOT(ISNUMBER(B761)),"Invalid date",IF(OR(B761&lt;=0,B761&lt;&gt;INT(B761)),"Invalid date",IF(COUNTIFS(DemoHistory[Date],B761)&lt;&gt;1,"Duplicate date",IF(AND($A761&gt;1,B761&lt;=B760),"Dates out of order",IF(NOT(ISNUMBER(C761)),"Missing price",IF(C761&lt;=0,"Nonpositive price","OK")))))))))</f>
        <v/>
      </c>
      <c r="I761" s="136"/>
      <c r="J761" s="136"/>
      <c r="K761" s="136"/>
      <c r="L761" s="136"/>
      <c r="M761" s="136"/>
      <c r="N761" s="136" t="e">
        <f t="shared" si="34"/>
        <v>#N/A</v>
      </c>
      <c r="O761" s="136" t="e">
        <f t="shared" si="35"/>
        <v>#N/A</v>
      </c>
    </row>
    <row r="762" spans="1:15" ht="22.05" customHeight="1" x14ac:dyDescent="0.3">
      <c r="A762" s="136">
        <v>718</v>
      </c>
      <c r="B762" s="165" t="str">
        <f>IF($A762&gt;MIN($A$10,$A$2),"",INDEX(DemoHistory[Date],$A762))</f>
        <v/>
      </c>
      <c r="C762" s="166" t="str">
        <f>IF(OR($A762&gt;MIN($A$10,$A$2),$A$5=""),"",INDEX(DemoHistory[],$A762,MATCH($A$5,DemoHistory[#Headers],0)))</f>
        <v/>
      </c>
      <c r="D762" s="166" t="str">
        <f>IF($A762&gt;MIN($A$10,$A$2),"",IF(AND($A$12,$A$6=1,B762&lt;$A$7,$A$7&lt;=MAX(DemoHistory[Date])),$A$8,1))</f>
        <v/>
      </c>
      <c r="E762" s="166" t="str">
        <f t="shared" si="33"/>
        <v/>
      </c>
      <c r="F762" s="166" t="str">
        <f>IF($A762&gt;MIN($A$10,$A$2),"",IF($A762&lt;50,"n.a.",IF(COUNT(INDEX(StockDaily[Adjusted close],MAX(1,$A762-50+1)):E762)=50,AVERAGE(INDEX(StockDaily[Adjusted close],MAX(1,$A762-50+1)):E762),"n.a.")))</f>
        <v/>
      </c>
      <c r="G762" s="166" t="str">
        <f>IF($A762&gt;MIN($A$10,$A$2),"",IF($A762&lt;200,"n.a.",IF(COUNT(INDEX(StockDaily[Adjusted close],MAX(1,$A762-200+1)):E762)=200,AVERAGE(INDEX(StockDaily[Adjusted close],MAX(1,$A762-200+1)):E762),"n.a.")))</f>
        <v/>
      </c>
      <c r="H762" s="136" t="str">
        <f>IF($A762&gt;MIN($A$10,$A$2),"",IF($A$5="","Choose stock",IF(NOT($A$12),"Check split rule",IF(NOT(ISNUMBER(B762)),"Invalid date",IF(OR(B762&lt;=0,B762&lt;&gt;INT(B762)),"Invalid date",IF(COUNTIFS(DemoHistory[Date],B762)&lt;&gt;1,"Duplicate date",IF(AND($A762&gt;1,B762&lt;=B761),"Dates out of order",IF(NOT(ISNUMBER(C762)),"Missing price",IF(C762&lt;=0,"Nonpositive price","OK")))))))))</f>
        <v/>
      </c>
      <c r="I762" s="136"/>
      <c r="J762" s="136"/>
      <c r="K762" s="136"/>
      <c r="L762" s="136"/>
      <c r="M762" s="136"/>
      <c r="N762" s="136" t="e">
        <f t="shared" si="34"/>
        <v>#N/A</v>
      </c>
      <c r="O762" s="136" t="e">
        <f t="shared" si="35"/>
        <v>#N/A</v>
      </c>
    </row>
    <row r="763" spans="1:15" ht="22.05" customHeight="1" x14ac:dyDescent="0.3">
      <c r="A763" s="136">
        <v>719</v>
      </c>
      <c r="B763" s="165" t="str">
        <f>IF($A763&gt;MIN($A$10,$A$2),"",INDEX(DemoHistory[Date],$A763))</f>
        <v/>
      </c>
      <c r="C763" s="166" t="str">
        <f>IF(OR($A763&gt;MIN($A$10,$A$2),$A$5=""),"",INDEX(DemoHistory[],$A763,MATCH($A$5,DemoHistory[#Headers],0)))</f>
        <v/>
      </c>
      <c r="D763" s="166" t="str">
        <f>IF($A763&gt;MIN($A$10,$A$2),"",IF(AND($A$12,$A$6=1,B763&lt;$A$7,$A$7&lt;=MAX(DemoHistory[Date])),$A$8,1))</f>
        <v/>
      </c>
      <c r="E763" s="166" t="str">
        <f t="shared" si="33"/>
        <v/>
      </c>
      <c r="F763" s="166" t="str">
        <f>IF($A763&gt;MIN($A$10,$A$2),"",IF($A763&lt;50,"n.a.",IF(COUNT(INDEX(StockDaily[Adjusted close],MAX(1,$A763-50+1)):E763)=50,AVERAGE(INDEX(StockDaily[Adjusted close],MAX(1,$A763-50+1)):E763),"n.a.")))</f>
        <v/>
      </c>
      <c r="G763" s="166" t="str">
        <f>IF($A763&gt;MIN($A$10,$A$2),"",IF($A763&lt;200,"n.a.",IF(COUNT(INDEX(StockDaily[Adjusted close],MAX(1,$A763-200+1)):E763)=200,AVERAGE(INDEX(StockDaily[Adjusted close],MAX(1,$A763-200+1)):E763),"n.a.")))</f>
        <v/>
      </c>
      <c r="H763" s="136" t="str">
        <f>IF($A763&gt;MIN($A$10,$A$2),"",IF($A$5="","Choose stock",IF(NOT($A$12),"Check split rule",IF(NOT(ISNUMBER(B763)),"Invalid date",IF(OR(B763&lt;=0,B763&lt;&gt;INT(B763)),"Invalid date",IF(COUNTIFS(DemoHistory[Date],B763)&lt;&gt;1,"Duplicate date",IF(AND($A763&gt;1,B763&lt;=B762),"Dates out of order",IF(NOT(ISNUMBER(C763)),"Missing price",IF(C763&lt;=0,"Nonpositive price","OK")))))))))</f>
        <v/>
      </c>
      <c r="I763" s="136"/>
      <c r="J763" s="136"/>
      <c r="K763" s="136"/>
      <c r="L763" s="136"/>
      <c r="M763" s="136"/>
      <c r="N763" s="136" t="e">
        <f t="shared" si="34"/>
        <v>#N/A</v>
      </c>
      <c r="O763" s="136" t="e">
        <f t="shared" si="35"/>
        <v>#N/A</v>
      </c>
    </row>
    <row r="764" spans="1:15" ht="22.05" customHeight="1" x14ac:dyDescent="0.3">
      <c r="A764" s="136">
        <v>720</v>
      </c>
      <c r="B764" s="165" t="str">
        <f>IF($A764&gt;MIN($A$10,$A$2),"",INDEX(DemoHistory[Date],$A764))</f>
        <v/>
      </c>
      <c r="C764" s="166" t="str">
        <f>IF(OR($A764&gt;MIN($A$10,$A$2),$A$5=""),"",INDEX(DemoHistory[],$A764,MATCH($A$5,DemoHistory[#Headers],0)))</f>
        <v/>
      </c>
      <c r="D764" s="166" t="str">
        <f>IF($A764&gt;MIN($A$10,$A$2),"",IF(AND($A$12,$A$6=1,B764&lt;$A$7,$A$7&lt;=MAX(DemoHistory[Date])),$A$8,1))</f>
        <v/>
      </c>
      <c r="E764" s="166" t="str">
        <f t="shared" si="33"/>
        <v/>
      </c>
      <c r="F764" s="166" t="str">
        <f>IF($A764&gt;MIN($A$10,$A$2),"",IF($A764&lt;50,"n.a.",IF(COUNT(INDEX(StockDaily[Adjusted close],MAX(1,$A764-50+1)):E764)=50,AVERAGE(INDEX(StockDaily[Adjusted close],MAX(1,$A764-50+1)):E764),"n.a.")))</f>
        <v/>
      </c>
      <c r="G764" s="166" t="str">
        <f>IF($A764&gt;MIN($A$10,$A$2),"",IF($A764&lt;200,"n.a.",IF(COUNT(INDEX(StockDaily[Adjusted close],MAX(1,$A764-200+1)):E764)=200,AVERAGE(INDEX(StockDaily[Adjusted close],MAX(1,$A764-200+1)):E764),"n.a.")))</f>
        <v/>
      </c>
      <c r="H764" s="136" t="str">
        <f>IF($A764&gt;MIN($A$10,$A$2),"",IF($A$5="","Choose stock",IF(NOT($A$12),"Check split rule",IF(NOT(ISNUMBER(B764)),"Invalid date",IF(OR(B764&lt;=0,B764&lt;&gt;INT(B764)),"Invalid date",IF(COUNTIFS(DemoHistory[Date],B764)&lt;&gt;1,"Duplicate date",IF(AND($A764&gt;1,B764&lt;=B763),"Dates out of order",IF(NOT(ISNUMBER(C764)),"Missing price",IF(C764&lt;=0,"Nonpositive price","OK")))))))))</f>
        <v/>
      </c>
      <c r="I764" s="136"/>
      <c r="J764" s="136"/>
      <c r="K764" s="136"/>
      <c r="L764" s="136"/>
      <c r="M764" s="136"/>
      <c r="N764" s="136" t="e">
        <f t="shared" si="34"/>
        <v>#N/A</v>
      </c>
      <c r="O764" s="136" t="e">
        <f t="shared" si="35"/>
        <v>#N/A</v>
      </c>
    </row>
    <row r="765" spans="1:15" ht="22.05" customHeight="1" x14ac:dyDescent="0.3">
      <c r="A765" s="136">
        <v>721</v>
      </c>
      <c r="B765" s="165" t="str">
        <f>IF($A765&gt;MIN($A$10,$A$2),"",INDEX(DemoHistory[Date],$A765))</f>
        <v/>
      </c>
      <c r="C765" s="166" t="str">
        <f>IF(OR($A765&gt;MIN($A$10,$A$2),$A$5=""),"",INDEX(DemoHistory[],$A765,MATCH($A$5,DemoHistory[#Headers],0)))</f>
        <v/>
      </c>
      <c r="D765" s="166" t="str">
        <f>IF($A765&gt;MIN($A$10,$A$2),"",IF(AND($A$12,$A$6=1,B765&lt;$A$7,$A$7&lt;=MAX(DemoHistory[Date])),$A$8,1))</f>
        <v/>
      </c>
      <c r="E765" s="166" t="str">
        <f t="shared" si="33"/>
        <v/>
      </c>
      <c r="F765" s="166" t="str">
        <f>IF($A765&gt;MIN($A$10,$A$2),"",IF($A765&lt;50,"n.a.",IF(COUNT(INDEX(StockDaily[Adjusted close],MAX(1,$A765-50+1)):E765)=50,AVERAGE(INDEX(StockDaily[Adjusted close],MAX(1,$A765-50+1)):E765),"n.a.")))</f>
        <v/>
      </c>
      <c r="G765" s="166" t="str">
        <f>IF($A765&gt;MIN($A$10,$A$2),"",IF($A765&lt;200,"n.a.",IF(COUNT(INDEX(StockDaily[Adjusted close],MAX(1,$A765-200+1)):E765)=200,AVERAGE(INDEX(StockDaily[Adjusted close],MAX(1,$A765-200+1)):E765),"n.a.")))</f>
        <v/>
      </c>
      <c r="H765" s="136" t="str">
        <f>IF($A765&gt;MIN($A$10,$A$2),"",IF($A$5="","Choose stock",IF(NOT($A$12),"Check split rule",IF(NOT(ISNUMBER(B765)),"Invalid date",IF(OR(B765&lt;=0,B765&lt;&gt;INT(B765)),"Invalid date",IF(COUNTIFS(DemoHistory[Date],B765)&lt;&gt;1,"Duplicate date",IF(AND($A765&gt;1,B765&lt;=B764),"Dates out of order",IF(NOT(ISNUMBER(C765)),"Missing price",IF(C765&lt;=0,"Nonpositive price","OK")))))))))</f>
        <v/>
      </c>
      <c r="I765" s="136"/>
      <c r="J765" s="136"/>
      <c r="K765" s="136"/>
      <c r="L765" s="136"/>
      <c r="M765" s="136"/>
      <c r="N765" s="136" t="e">
        <f t="shared" si="34"/>
        <v>#N/A</v>
      </c>
      <c r="O765" s="136" t="e">
        <f t="shared" si="35"/>
        <v>#N/A</v>
      </c>
    </row>
    <row r="766" spans="1:15" ht="22.05" customHeight="1" x14ac:dyDescent="0.3">
      <c r="A766" s="136">
        <v>722</v>
      </c>
      <c r="B766" s="165" t="str">
        <f>IF($A766&gt;MIN($A$10,$A$2),"",INDEX(DemoHistory[Date],$A766))</f>
        <v/>
      </c>
      <c r="C766" s="166" t="str">
        <f>IF(OR($A766&gt;MIN($A$10,$A$2),$A$5=""),"",INDEX(DemoHistory[],$A766,MATCH($A$5,DemoHistory[#Headers],0)))</f>
        <v/>
      </c>
      <c r="D766" s="166" t="str">
        <f>IF($A766&gt;MIN($A$10,$A$2),"",IF(AND($A$12,$A$6=1,B766&lt;$A$7,$A$7&lt;=MAX(DemoHistory[Date])),$A$8,1))</f>
        <v/>
      </c>
      <c r="E766" s="166" t="str">
        <f t="shared" si="33"/>
        <v/>
      </c>
      <c r="F766" s="166" t="str">
        <f>IF($A766&gt;MIN($A$10,$A$2),"",IF($A766&lt;50,"n.a.",IF(COUNT(INDEX(StockDaily[Adjusted close],MAX(1,$A766-50+1)):E766)=50,AVERAGE(INDEX(StockDaily[Adjusted close],MAX(1,$A766-50+1)):E766),"n.a.")))</f>
        <v/>
      </c>
      <c r="G766" s="166" t="str">
        <f>IF($A766&gt;MIN($A$10,$A$2),"",IF($A766&lt;200,"n.a.",IF(COUNT(INDEX(StockDaily[Adjusted close],MAX(1,$A766-200+1)):E766)=200,AVERAGE(INDEX(StockDaily[Adjusted close],MAX(1,$A766-200+1)):E766),"n.a.")))</f>
        <v/>
      </c>
      <c r="H766" s="136" t="str">
        <f>IF($A766&gt;MIN($A$10,$A$2),"",IF($A$5="","Choose stock",IF(NOT($A$12),"Check split rule",IF(NOT(ISNUMBER(B766)),"Invalid date",IF(OR(B766&lt;=0,B766&lt;&gt;INT(B766)),"Invalid date",IF(COUNTIFS(DemoHistory[Date],B766)&lt;&gt;1,"Duplicate date",IF(AND($A766&gt;1,B766&lt;=B765),"Dates out of order",IF(NOT(ISNUMBER(C766)),"Missing price",IF(C766&lt;=0,"Nonpositive price","OK")))))))))</f>
        <v/>
      </c>
      <c r="I766" s="136"/>
      <c r="J766" s="136"/>
      <c r="K766" s="136"/>
      <c r="L766" s="136"/>
      <c r="M766" s="136"/>
      <c r="N766" s="136" t="e">
        <f t="shared" si="34"/>
        <v>#N/A</v>
      </c>
      <c r="O766" s="136" t="e">
        <f t="shared" si="35"/>
        <v>#N/A</v>
      </c>
    </row>
    <row r="767" spans="1:15" ht="22.05" customHeight="1" x14ac:dyDescent="0.3">
      <c r="A767" s="136">
        <v>723</v>
      </c>
      <c r="B767" s="165" t="str">
        <f>IF($A767&gt;MIN($A$10,$A$2),"",INDEX(DemoHistory[Date],$A767))</f>
        <v/>
      </c>
      <c r="C767" s="166" t="str">
        <f>IF(OR($A767&gt;MIN($A$10,$A$2),$A$5=""),"",INDEX(DemoHistory[],$A767,MATCH($A$5,DemoHistory[#Headers],0)))</f>
        <v/>
      </c>
      <c r="D767" s="166" t="str">
        <f>IF($A767&gt;MIN($A$10,$A$2),"",IF(AND($A$12,$A$6=1,B767&lt;$A$7,$A$7&lt;=MAX(DemoHistory[Date])),$A$8,1))</f>
        <v/>
      </c>
      <c r="E767" s="166" t="str">
        <f t="shared" si="33"/>
        <v/>
      </c>
      <c r="F767" s="166" t="str">
        <f>IF($A767&gt;MIN($A$10,$A$2),"",IF($A767&lt;50,"n.a.",IF(COUNT(INDEX(StockDaily[Adjusted close],MAX(1,$A767-50+1)):E767)=50,AVERAGE(INDEX(StockDaily[Adjusted close],MAX(1,$A767-50+1)):E767),"n.a.")))</f>
        <v/>
      </c>
      <c r="G767" s="166" t="str">
        <f>IF($A767&gt;MIN($A$10,$A$2),"",IF($A767&lt;200,"n.a.",IF(COUNT(INDEX(StockDaily[Adjusted close],MAX(1,$A767-200+1)):E767)=200,AVERAGE(INDEX(StockDaily[Adjusted close],MAX(1,$A767-200+1)):E767),"n.a.")))</f>
        <v/>
      </c>
      <c r="H767" s="136" t="str">
        <f>IF($A767&gt;MIN($A$10,$A$2),"",IF($A$5="","Choose stock",IF(NOT($A$12),"Check split rule",IF(NOT(ISNUMBER(B767)),"Invalid date",IF(OR(B767&lt;=0,B767&lt;&gt;INT(B767)),"Invalid date",IF(COUNTIFS(DemoHistory[Date],B767)&lt;&gt;1,"Duplicate date",IF(AND($A767&gt;1,B767&lt;=B766),"Dates out of order",IF(NOT(ISNUMBER(C767)),"Missing price",IF(C767&lt;=0,"Nonpositive price","OK")))))))))</f>
        <v/>
      </c>
      <c r="I767" s="136"/>
      <c r="J767" s="136"/>
      <c r="K767" s="136"/>
      <c r="L767" s="136"/>
      <c r="M767" s="136"/>
      <c r="N767" s="136" t="e">
        <f t="shared" si="34"/>
        <v>#N/A</v>
      </c>
      <c r="O767" s="136" t="e">
        <f t="shared" si="35"/>
        <v>#N/A</v>
      </c>
    </row>
    <row r="768" spans="1:15" ht="22.05" customHeight="1" x14ac:dyDescent="0.3">
      <c r="A768" s="136">
        <v>724</v>
      </c>
      <c r="B768" s="165" t="str">
        <f>IF($A768&gt;MIN($A$10,$A$2),"",INDEX(DemoHistory[Date],$A768))</f>
        <v/>
      </c>
      <c r="C768" s="166" t="str">
        <f>IF(OR($A768&gt;MIN($A$10,$A$2),$A$5=""),"",INDEX(DemoHistory[],$A768,MATCH($A$5,DemoHistory[#Headers],0)))</f>
        <v/>
      </c>
      <c r="D768" s="166" t="str">
        <f>IF($A768&gt;MIN($A$10,$A$2),"",IF(AND($A$12,$A$6=1,B768&lt;$A$7,$A$7&lt;=MAX(DemoHistory[Date])),$A$8,1))</f>
        <v/>
      </c>
      <c r="E768" s="166" t="str">
        <f t="shared" si="33"/>
        <v/>
      </c>
      <c r="F768" s="166" t="str">
        <f>IF($A768&gt;MIN($A$10,$A$2),"",IF($A768&lt;50,"n.a.",IF(COUNT(INDEX(StockDaily[Adjusted close],MAX(1,$A768-50+1)):E768)=50,AVERAGE(INDEX(StockDaily[Adjusted close],MAX(1,$A768-50+1)):E768),"n.a.")))</f>
        <v/>
      </c>
      <c r="G768" s="166" t="str">
        <f>IF($A768&gt;MIN($A$10,$A$2),"",IF($A768&lt;200,"n.a.",IF(COUNT(INDEX(StockDaily[Adjusted close],MAX(1,$A768-200+1)):E768)=200,AVERAGE(INDEX(StockDaily[Adjusted close],MAX(1,$A768-200+1)):E768),"n.a.")))</f>
        <v/>
      </c>
      <c r="H768" s="136" t="str">
        <f>IF($A768&gt;MIN($A$10,$A$2),"",IF($A$5="","Choose stock",IF(NOT($A$12),"Check split rule",IF(NOT(ISNUMBER(B768)),"Invalid date",IF(OR(B768&lt;=0,B768&lt;&gt;INT(B768)),"Invalid date",IF(COUNTIFS(DemoHistory[Date],B768)&lt;&gt;1,"Duplicate date",IF(AND($A768&gt;1,B768&lt;=B767),"Dates out of order",IF(NOT(ISNUMBER(C768)),"Missing price",IF(C768&lt;=0,"Nonpositive price","OK")))))))))</f>
        <v/>
      </c>
      <c r="I768" s="136"/>
      <c r="J768" s="136"/>
      <c r="K768" s="136"/>
      <c r="L768" s="136"/>
      <c r="M768" s="136"/>
      <c r="N768" s="136" t="e">
        <f t="shared" si="34"/>
        <v>#N/A</v>
      </c>
      <c r="O768" s="136" t="e">
        <f t="shared" si="35"/>
        <v>#N/A</v>
      </c>
    </row>
    <row r="769" spans="1:15" ht="22.05" customHeight="1" x14ac:dyDescent="0.3">
      <c r="A769" s="136">
        <v>725</v>
      </c>
      <c r="B769" s="165" t="str">
        <f>IF($A769&gt;MIN($A$10,$A$2),"",INDEX(DemoHistory[Date],$A769))</f>
        <v/>
      </c>
      <c r="C769" s="166" t="str">
        <f>IF(OR($A769&gt;MIN($A$10,$A$2),$A$5=""),"",INDEX(DemoHistory[],$A769,MATCH($A$5,DemoHistory[#Headers],0)))</f>
        <v/>
      </c>
      <c r="D769" s="166" t="str">
        <f>IF($A769&gt;MIN($A$10,$A$2),"",IF(AND($A$12,$A$6=1,B769&lt;$A$7,$A$7&lt;=MAX(DemoHistory[Date])),$A$8,1))</f>
        <v/>
      </c>
      <c r="E769" s="166" t="str">
        <f t="shared" si="33"/>
        <v/>
      </c>
      <c r="F769" s="166" t="str">
        <f>IF($A769&gt;MIN($A$10,$A$2),"",IF($A769&lt;50,"n.a.",IF(COUNT(INDEX(StockDaily[Adjusted close],MAX(1,$A769-50+1)):E769)=50,AVERAGE(INDEX(StockDaily[Adjusted close],MAX(1,$A769-50+1)):E769),"n.a.")))</f>
        <v/>
      </c>
      <c r="G769" s="166" t="str">
        <f>IF($A769&gt;MIN($A$10,$A$2),"",IF($A769&lt;200,"n.a.",IF(COUNT(INDEX(StockDaily[Adjusted close],MAX(1,$A769-200+1)):E769)=200,AVERAGE(INDEX(StockDaily[Adjusted close],MAX(1,$A769-200+1)):E769),"n.a.")))</f>
        <v/>
      </c>
      <c r="H769" s="136" t="str">
        <f>IF($A769&gt;MIN($A$10,$A$2),"",IF($A$5="","Choose stock",IF(NOT($A$12),"Check split rule",IF(NOT(ISNUMBER(B769)),"Invalid date",IF(OR(B769&lt;=0,B769&lt;&gt;INT(B769)),"Invalid date",IF(COUNTIFS(DemoHistory[Date],B769)&lt;&gt;1,"Duplicate date",IF(AND($A769&gt;1,B769&lt;=B768),"Dates out of order",IF(NOT(ISNUMBER(C769)),"Missing price",IF(C769&lt;=0,"Nonpositive price","OK")))))))))</f>
        <v/>
      </c>
      <c r="I769" s="136"/>
      <c r="J769" s="136"/>
      <c r="K769" s="136"/>
      <c r="L769" s="136"/>
      <c r="M769" s="136"/>
      <c r="N769" s="136" t="e">
        <f t="shared" si="34"/>
        <v>#N/A</v>
      </c>
      <c r="O769" s="136" t="e">
        <f t="shared" si="35"/>
        <v>#N/A</v>
      </c>
    </row>
    <row r="770" spans="1:15" ht="22.05" customHeight="1" x14ac:dyDescent="0.3">
      <c r="A770" s="136">
        <v>726</v>
      </c>
      <c r="B770" s="165" t="str">
        <f>IF($A770&gt;MIN($A$10,$A$2),"",INDEX(DemoHistory[Date],$A770))</f>
        <v/>
      </c>
      <c r="C770" s="166" t="str">
        <f>IF(OR($A770&gt;MIN($A$10,$A$2),$A$5=""),"",INDEX(DemoHistory[],$A770,MATCH($A$5,DemoHistory[#Headers],0)))</f>
        <v/>
      </c>
      <c r="D770" s="166" t="str">
        <f>IF($A770&gt;MIN($A$10,$A$2),"",IF(AND($A$12,$A$6=1,B770&lt;$A$7,$A$7&lt;=MAX(DemoHistory[Date])),$A$8,1))</f>
        <v/>
      </c>
      <c r="E770" s="166" t="str">
        <f t="shared" si="33"/>
        <v/>
      </c>
      <c r="F770" s="166" t="str">
        <f>IF($A770&gt;MIN($A$10,$A$2),"",IF($A770&lt;50,"n.a.",IF(COUNT(INDEX(StockDaily[Adjusted close],MAX(1,$A770-50+1)):E770)=50,AVERAGE(INDEX(StockDaily[Adjusted close],MAX(1,$A770-50+1)):E770),"n.a.")))</f>
        <v/>
      </c>
      <c r="G770" s="166" t="str">
        <f>IF($A770&gt;MIN($A$10,$A$2),"",IF($A770&lt;200,"n.a.",IF(COUNT(INDEX(StockDaily[Adjusted close],MAX(1,$A770-200+1)):E770)=200,AVERAGE(INDEX(StockDaily[Adjusted close],MAX(1,$A770-200+1)):E770),"n.a.")))</f>
        <v/>
      </c>
      <c r="H770" s="136" t="str">
        <f>IF($A770&gt;MIN($A$10,$A$2),"",IF($A$5="","Choose stock",IF(NOT($A$12),"Check split rule",IF(NOT(ISNUMBER(B770)),"Invalid date",IF(OR(B770&lt;=0,B770&lt;&gt;INT(B770)),"Invalid date",IF(COUNTIFS(DemoHistory[Date],B770)&lt;&gt;1,"Duplicate date",IF(AND($A770&gt;1,B770&lt;=B769),"Dates out of order",IF(NOT(ISNUMBER(C770)),"Missing price",IF(C770&lt;=0,"Nonpositive price","OK")))))))))</f>
        <v/>
      </c>
      <c r="I770" s="136"/>
      <c r="J770" s="136"/>
      <c r="K770" s="136"/>
      <c r="L770" s="136"/>
      <c r="M770" s="136"/>
      <c r="N770" s="136" t="e">
        <f t="shared" si="34"/>
        <v>#N/A</v>
      </c>
      <c r="O770" s="136" t="e">
        <f t="shared" si="35"/>
        <v>#N/A</v>
      </c>
    </row>
    <row r="771" spans="1:15" ht="22.05" customHeight="1" x14ac:dyDescent="0.3">
      <c r="A771" s="136">
        <v>727</v>
      </c>
      <c r="B771" s="165" t="str">
        <f>IF($A771&gt;MIN($A$10,$A$2),"",INDEX(DemoHistory[Date],$A771))</f>
        <v/>
      </c>
      <c r="C771" s="166" t="str">
        <f>IF(OR($A771&gt;MIN($A$10,$A$2),$A$5=""),"",INDEX(DemoHistory[],$A771,MATCH($A$5,DemoHistory[#Headers],0)))</f>
        <v/>
      </c>
      <c r="D771" s="166" t="str">
        <f>IF($A771&gt;MIN($A$10,$A$2),"",IF(AND($A$12,$A$6=1,B771&lt;$A$7,$A$7&lt;=MAX(DemoHistory[Date])),$A$8,1))</f>
        <v/>
      </c>
      <c r="E771" s="166" t="str">
        <f t="shared" si="33"/>
        <v/>
      </c>
      <c r="F771" s="166" t="str">
        <f>IF($A771&gt;MIN($A$10,$A$2),"",IF($A771&lt;50,"n.a.",IF(COUNT(INDEX(StockDaily[Adjusted close],MAX(1,$A771-50+1)):E771)=50,AVERAGE(INDEX(StockDaily[Adjusted close],MAX(1,$A771-50+1)):E771),"n.a.")))</f>
        <v/>
      </c>
      <c r="G771" s="166" t="str">
        <f>IF($A771&gt;MIN($A$10,$A$2),"",IF($A771&lt;200,"n.a.",IF(COUNT(INDEX(StockDaily[Adjusted close],MAX(1,$A771-200+1)):E771)=200,AVERAGE(INDEX(StockDaily[Adjusted close],MAX(1,$A771-200+1)):E771),"n.a.")))</f>
        <v/>
      </c>
      <c r="H771" s="136" t="str">
        <f>IF($A771&gt;MIN($A$10,$A$2),"",IF($A$5="","Choose stock",IF(NOT($A$12),"Check split rule",IF(NOT(ISNUMBER(B771)),"Invalid date",IF(OR(B771&lt;=0,B771&lt;&gt;INT(B771)),"Invalid date",IF(COUNTIFS(DemoHistory[Date],B771)&lt;&gt;1,"Duplicate date",IF(AND($A771&gt;1,B771&lt;=B770),"Dates out of order",IF(NOT(ISNUMBER(C771)),"Missing price",IF(C771&lt;=0,"Nonpositive price","OK")))))))))</f>
        <v/>
      </c>
      <c r="I771" s="136"/>
      <c r="J771" s="136"/>
      <c r="K771" s="136"/>
      <c r="L771" s="136"/>
      <c r="M771" s="136"/>
      <c r="N771" s="136" t="e">
        <f t="shared" si="34"/>
        <v>#N/A</v>
      </c>
      <c r="O771" s="136" t="e">
        <f t="shared" si="35"/>
        <v>#N/A</v>
      </c>
    </row>
    <row r="772" spans="1:15" ht="22.05" customHeight="1" x14ac:dyDescent="0.3">
      <c r="A772" s="136">
        <v>728</v>
      </c>
      <c r="B772" s="165" t="str">
        <f>IF($A772&gt;MIN($A$10,$A$2),"",INDEX(DemoHistory[Date],$A772))</f>
        <v/>
      </c>
      <c r="C772" s="166" t="str">
        <f>IF(OR($A772&gt;MIN($A$10,$A$2),$A$5=""),"",INDEX(DemoHistory[],$A772,MATCH($A$5,DemoHistory[#Headers],0)))</f>
        <v/>
      </c>
      <c r="D772" s="166" t="str">
        <f>IF($A772&gt;MIN($A$10,$A$2),"",IF(AND($A$12,$A$6=1,B772&lt;$A$7,$A$7&lt;=MAX(DemoHistory[Date])),$A$8,1))</f>
        <v/>
      </c>
      <c r="E772" s="166" t="str">
        <f t="shared" si="33"/>
        <v/>
      </c>
      <c r="F772" s="166" t="str">
        <f>IF($A772&gt;MIN($A$10,$A$2),"",IF($A772&lt;50,"n.a.",IF(COUNT(INDEX(StockDaily[Adjusted close],MAX(1,$A772-50+1)):E772)=50,AVERAGE(INDEX(StockDaily[Adjusted close],MAX(1,$A772-50+1)):E772),"n.a.")))</f>
        <v/>
      </c>
      <c r="G772" s="166" t="str">
        <f>IF($A772&gt;MIN($A$10,$A$2),"",IF($A772&lt;200,"n.a.",IF(COUNT(INDEX(StockDaily[Adjusted close],MAX(1,$A772-200+1)):E772)=200,AVERAGE(INDEX(StockDaily[Adjusted close],MAX(1,$A772-200+1)):E772),"n.a.")))</f>
        <v/>
      </c>
      <c r="H772" s="136" t="str">
        <f>IF($A772&gt;MIN($A$10,$A$2),"",IF($A$5="","Choose stock",IF(NOT($A$12),"Check split rule",IF(NOT(ISNUMBER(B772)),"Invalid date",IF(OR(B772&lt;=0,B772&lt;&gt;INT(B772)),"Invalid date",IF(COUNTIFS(DemoHistory[Date],B772)&lt;&gt;1,"Duplicate date",IF(AND($A772&gt;1,B772&lt;=B771),"Dates out of order",IF(NOT(ISNUMBER(C772)),"Missing price",IF(C772&lt;=0,"Nonpositive price","OK")))))))))</f>
        <v/>
      </c>
      <c r="I772" s="136"/>
      <c r="J772" s="136"/>
      <c r="K772" s="136"/>
      <c r="L772" s="136"/>
      <c r="M772" s="136"/>
      <c r="N772" s="136" t="e">
        <f t="shared" si="34"/>
        <v>#N/A</v>
      </c>
      <c r="O772" s="136" t="e">
        <f t="shared" si="35"/>
        <v>#N/A</v>
      </c>
    </row>
    <row r="773" spans="1:15" ht="22.05" customHeight="1" x14ac:dyDescent="0.3">
      <c r="A773" s="136">
        <v>729</v>
      </c>
      <c r="B773" s="165" t="str">
        <f>IF($A773&gt;MIN($A$10,$A$2),"",INDEX(DemoHistory[Date],$A773))</f>
        <v/>
      </c>
      <c r="C773" s="166" t="str">
        <f>IF(OR($A773&gt;MIN($A$10,$A$2),$A$5=""),"",INDEX(DemoHistory[],$A773,MATCH($A$5,DemoHistory[#Headers],0)))</f>
        <v/>
      </c>
      <c r="D773" s="166" t="str">
        <f>IF($A773&gt;MIN($A$10,$A$2),"",IF(AND($A$12,$A$6=1,B773&lt;$A$7,$A$7&lt;=MAX(DemoHistory[Date])),$A$8,1))</f>
        <v/>
      </c>
      <c r="E773" s="166" t="str">
        <f t="shared" si="33"/>
        <v/>
      </c>
      <c r="F773" s="166" t="str">
        <f>IF($A773&gt;MIN($A$10,$A$2),"",IF($A773&lt;50,"n.a.",IF(COUNT(INDEX(StockDaily[Adjusted close],MAX(1,$A773-50+1)):E773)=50,AVERAGE(INDEX(StockDaily[Adjusted close],MAX(1,$A773-50+1)):E773),"n.a.")))</f>
        <v/>
      </c>
      <c r="G773" s="166" t="str">
        <f>IF($A773&gt;MIN($A$10,$A$2),"",IF($A773&lt;200,"n.a.",IF(COUNT(INDEX(StockDaily[Adjusted close],MAX(1,$A773-200+1)):E773)=200,AVERAGE(INDEX(StockDaily[Adjusted close],MAX(1,$A773-200+1)):E773),"n.a.")))</f>
        <v/>
      </c>
      <c r="H773" s="136" t="str">
        <f>IF($A773&gt;MIN($A$10,$A$2),"",IF($A$5="","Choose stock",IF(NOT($A$12),"Check split rule",IF(NOT(ISNUMBER(B773)),"Invalid date",IF(OR(B773&lt;=0,B773&lt;&gt;INT(B773)),"Invalid date",IF(COUNTIFS(DemoHistory[Date],B773)&lt;&gt;1,"Duplicate date",IF(AND($A773&gt;1,B773&lt;=B772),"Dates out of order",IF(NOT(ISNUMBER(C773)),"Missing price",IF(C773&lt;=0,"Nonpositive price","OK")))))))))</f>
        <v/>
      </c>
      <c r="I773" s="136"/>
      <c r="J773" s="136"/>
      <c r="K773" s="136"/>
      <c r="L773" s="136"/>
      <c r="M773" s="136"/>
      <c r="N773" s="136" t="e">
        <f t="shared" si="34"/>
        <v>#N/A</v>
      </c>
      <c r="O773" s="136" t="e">
        <f t="shared" si="35"/>
        <v>#N/A</v>
      </c>
    </row>
    <row r="774" spans="1:15" ht="22.05" customHeight="1" x14ac:dyDescent="0.3">
      <c r="A774" s="136">
        <v>730</v>
      </c>
      <c r="B774" s="165" t="str">
        <f>IF($A774&gt;MIN($A$10,$A$2),"",INDEX(DemoHistory[Date],$A774))</f>
        <v/>
      </c>
      <c r="C774" s="166" t="str">
        <f>IF(OR($A774&gt;MIN($A$10,$A$2),$A$5=""),"",INDEX(DemoHistory[],$A774,MATCH($A$5,DemoHistory[#Headers],0)))</f>
        <v/>
      </c>
      <c r="D774" s="166" t="str">
        <f>IF($A774&gt;MIN($A$10,$A$2),"",IF(AND($A$12,$A$6=1,B774&lt;$A$7,$A$7&lt;=MAX(DemoHistory[Date])),$A$8,1))</f>
        <v/>
      </c>
      <c r="E774" s="166" t="str">
        <f t="shared" si="33"/>
        <v/>
      </c>
      <c r="F774" s="166" t="str">
        <f>IF($A774&gt;MIN($A$10,$A$2),"",IF($A774&lt;50,"n.a.",IF(COUNT(INDEX(StockDaily[Adjusted close],MAX(1,$A774-50+1)):E774)=50,AVERAGE(INDEX(StockDaily[Adjusted close],MAX(1,$A774-50+1)):E774),"n.a.")))</f>
        <v/>
      </c>
      <c r="G774" s="166" t="str">
        <f>IF($A774&gt;MIN($A$10,$A$2),"",IF($A774&lt;200,"n.a.",IF(COUNT(INDEX(StockDaily[Adjusted close],MAX(1,$A774-200+1)):E774)=200,AVERAGE(INDEX(StockDaily[Adjusted close],MAX(1,$A774-200+1)):E774),"n.a.")))</f>
        <v/>
      </c>
      <c r="H774" s="136" t="str">
        <f>IF($A774&gt;MIN($A$10,$A$2),"",IF($A$5="","Choose stock",IF(NOT($A$12),"Check split rule",IF(NOT(ISNUMBER(B774)),"Invalid date",IF(OR(B774&lt;=0,B774&lt;&gt;INT(B774)),"Invalid date",IF(COUNTIFS(DemoHistory[Date],B774)&lt;&gt;1,"Duplicate date",IF(AND($A774&gt;1,B774&lt;=B773),"Dates out of order",IF(NOT(ISNUMBER(C774)),"Missing price",IF(C774&lt;=0,"Nonpositive price","OK")))))))))</f>
        <v/>
      </c>
      <c r="I774" s="136"/>
      <c r="J774" s="136"/>
      <c r="K774" s="136"/>
      <c r="L774" s="136"/>
      <c r="M774" s="136"/>
      <c r="N774" s="136" t="e">
        <f t="shared" si="34"/>
        <v>#N/A</v>
      </c>
      <c r="O774" s="136" t="e">
        <f t="shared" si="35"/>
        <v>#N/A</v>
      </c>
    </row>
    <row r="775" spans="1:15" ht="22.05" customHeight="1" x14ac:dyDescent="0.3">
      <c r="A775" s="136">
        <v>731</v>
      </c>
      <c r="B775" s="165" t="str">
        <f>IF($A775&gt;MIN($A$10,$A$2),"",INDEX(DemoHistory[Date],$A775))</f>
        <v/>
      </c>
      <c r="C775" s="166" t="str">
        <f>IF(OR($A775&gt;MIN($A$10,$A$2),$A$5=""),"",INDEX(DemoHistory[],$A775,MATCH($A$5,DemoHistory[#Headers],0)))</f>
        <v/>
      </c>
      <c r="D775" s="166" t="str">
        <f>IF($A775&gt;MIN($A$10,$A$2),"",IF(AND($A$12,$A$6=1,B775&lt;$A$7,$A$7&lt;=MAX(DemoHistory[Date])),$A$8,1))</f>
        <v/>
      </c>
      <c r="E775" s="166" t="str">
        <f t="shared" si="33"/>
        <v/>
      </c>
      <c r="F775" s="166" t="str">
        <f>IF($A775&gt;MIN($A$10,$A$2),"",IF($A775&lt;50,"n.a.",IF(COUNT(INDEX(StockDaily[Adjusted close],MAX(1,$A775-50+1)):E775)=50,AVERAGE(INDEX(StockDaily[Adjusted close],MAX(1,$A775-50+1)):E775),"n.a.")))</f>
        <v/>
      </c>
      <c r="G775" s="166" t="str">
        <f>IF($A775&gt;MIN($A$10,$A$2),"",IF($A775&lt;200,"n.a.",IF(COUNT(INDEX(StockDaily[Adjusted close],MAX(1,$A775-200+1)):E775)=200,AVERAGE(INDEX(StockDaily[Adjusted close],MAX(1,$A775-200+1)):E775),"n.a.")))</f>
        <v/>
      </c>
      <c r="H775" s="136" t="str">
        <f>IF($A775&gt;MIN($A$10,$A$2),"",IF($A$5="","Choose stock",IF(NOT($A$12),"Check split rule",IF(NOT(ISNUMBER(B775)),"Invalid date",IF(OR(B775&lt;=0,B775&lt;&gt;INT(B775)),"Invalid date",IF(COUNTIFS(DemoHistory[Date],B775)&lt;&gt;1,"Duplicate date",IF(AND($A775&gt;1,B775&lt;=B774),"Dates out of order",IF(NOT(ISNUMBER(C775)),"Missing price",IF(C775&lt;=0,"Nonpositive price","OK")))))))))</f>
        <v/>
      </c>
      <c r="I775" s="136"/>
      <c r="J775" s="136"/>
      <c r="K775" s="136"/>
      <c r="L775" s="136"/>
      <c r="M775" s="136"/>
      <c r="N775" s="136" t="e">
        <f t="shared" si="34"/>
        <v>#N/A</v>
      </c>
      <c r="O775" s="136" t="e">
        <f t="shared" si="35"/>
        <v>#N/A</v>
      </c>
    </row>
    <row r="776" spans="1:15" ht="22.05" customHeight="1" x14ac:dyDescent="0.3">
      <c r="A776" s="136">
        <v>732</v>
      </c>
      <c r="B776" s="165" t="str">
        <f>IF($A776&gt;MIN($A$10,$A$2),"",INDEX(DemoHistory[Date],$A776))</f>
        <v/>
      </c>
      <c r="C776" s="166" t="str">
        <f>IF(OR($A776&gt;MIN($A$10,$A$2),$A$5=""),"",INDEX(DemoHistory[],$A776,MATCH($A$5,DemoHistory[#Headers],0)))</f>
        <v/>
      </c>
      <c r="D776" s="166" t="str">
        <f>IF($A776&gt;MIN($A$10,$A$2),"",IF(AND($A$12,$A$6=1,B776&lt;$A$7,$A$7&lt;=MAX(DemoHistory[Date])),$A$8,1))</f>
        <v/>
      </c>
      <c r="E776" s="166" t="str">
        <f t="shared" si="33"/>
        <v/>
      </c>
      <c r="F776" s="166" t="str">
        <f>IF($A776&gt;MIN($A$10,$A$2),"",IF($A776&lt;50,"n.a.",IF(COUNT(INDEX(StockDaily[Adjusted close],MAX(1,$A776-50+1)):E776)=50,AVERAGE(INDEX(StockDaily[Adjusted close],MAX(1,$A776-50+1)):E776),"n.a.")))</f>
        <v/>
      </c>
      <c r="G776" s="166" t="str">
        <f>IF($A776&gt;MIN($A$10,$A$2),"",IF($A776&lt;200,"n.a.",IF(COUNT(INDEX(StockDaily[Adjusted close],MAX(1,$A776-200+1)):E776)=200,AVERAGE(INDEX(StockDaily[Adjusted close],MAX(1,$A776-200+1)):E776),"n.a.")))</f>
        <v/>
      </c>
      <c r="H776" s="136" t="str">
        <f>IF($A776&gt;MIN($A$10,$A$2),"",IF($A$5="","Choose stock",IF(NOT($A$12),"Check split rule",IF(NOT(ISNUMBER(B776)),"Invalid date",IF(OR(B776&lt;=0,B776&lt;&gt;INT(B776)),"Invalid date",IF(COUNTIFS(DemoHistory[Date],B776)&lt;&gt;1,"Duplicate date",IF(AND($A776&gt;1,B776&lt;=B775),"Dates out of order",IF(NOT(ISNUMBER(C776)),"Missing price",IF(C776&lt;=0,"Nonpositive price","OK")))))))))</f>
        <v/>
      </c>
      <c r="I776" s="136"/>
      <c r="J776" s="136"/>
      <c r="K776" s="136"/>
      <c r="L776" s="136"/>
      <c r="M776" s="136"/>
      <c r="N776" s="136" t="e">
        <f t="shared" si="34"/>
        <v>#N/A</v>
      </c>
      <c r="O776" s="136" t="e">
        <f t="shared" si="35"/>
        <v>#N/A</v>
      </c>
    </row>
    <row r="777" spans="1:15" ht="22.05" customHeight="1" x14ac:dyDescent="0.3">
      <c r="A777" s="136">
        <v>733</v>
      </c>
      <c r="B777" s="165" t="str">
        <f>IF($A777&gt;MIN($A$10,$A$2),"",INDEX(DemoHistory[Date],$A777))</f>
        <v/>
      </c>
      <c r="C777" s="166" t="str">
        <f>IF(OR($A777&gt;MIN($A$10,$A$2),$A$5=""),"",INDEX(DemoHistory[],$A777,MATCH($A$5,DemoHistory[#Headers],0)))</f>
        <v/>
      </c>
      <c r="D777" s="166" t="str">
        <f>IF($A777&gt;MIN($A$10,$A$2),"",IF(AND($A$12,$A$6=1,B777&lt;$A$7,$A$7&lt;=MAX(DemoHistory[Date])),$A$8,1))</f>
        <v/>
      </c>
      <c r="E777" s="166" t="str">
        <f t="shared" si="33"/>
        <v/>
      </c>
      <c r="F777" s="166" t="str">
        <f>IF($A777&gt;MIN($A$10,$A$2),"",IF($A777&lt;50,"n.a.",IF(COUNT(INDEX(StockDaily[Adjusted close],MAX(1,$A777-50+1)):E777)=50,AVERAGE(INDEX(StockDaily[Adjusted close],MAX(1,$A777-50+1)):E777),"n.a.")))</f>
        <v/>
      </c>
      <c r="G777" s="166" t="str">
        <f>IF($A777&gt;MIN($A$10,$A$2),"",IF($A777&lt;200,"n.a.",IF(COUNT(INDEX(StockDaily[Adjusted close],MAX(1,$A777-200+1)):E777)=200,AVERAGE(INDEX(StockDaily[Adjusted close],MAX(1,$A777-200+1)):E777),"n.a.")))</f>
        <v/>
      </c>
      <c r="H777" s="136" t="str">
        <f>IF($A777&gt;MIN($A$10,$A$2),"",IF($A$5="","Choose stock",IF(NOT($A$12),"Check split rule",IF(NOT(ISNUMBER(B777)),"Invalid date",IF(OR(B777&lt;=0,B777&lt;&gt;INT(B777)),"Invalid date",IF(COUNTIFS(DemoHistory[Date],B777)&lt;&gt;1,"Duplicate date",IF(AND($A777&gt;1,B777&lt;=B776),"Dates out of order",IF(NOT(ISNUMBER(C777)),"Missing price",IF(C777&lt;=0,"Nonpositive price","OK")))))))))</f>
        <v/>
      </c>
      <c r="I777" s="136"/>
      <c r="J777" s="136"/>
      <c r="K777" s="136"/>
      <c r="L777" s="136"/>
      <c r="M777" s="136"/>
      <c r="N777" s="136" t="e">
        <f t="shared" si="34"/>
        <v>#N/A</v>
      </c>
      <c r="O777" s="136" t="e">
        <f t="shared" si="35"/>
        <v>#N/A</v>
      </c>
    </row>
    <row r="778" spans="1:15" ht="22.05" customHeight="1" x14ac:dyDescent="0.3">
      <c r="A778" s="136">
        <v>734</v>
      </c>
      <c r="B778" s="165" t="str">
        <f>IF($A778&gt;MIN($A$10,$A$2),"",INDEX(DemoHistory[Date],$A778))</f>
        <v/>
      </c>
      <c r="C778" s="166" t="str">
        <f>IF(OR($A778&gt;MIN($A$10,$A$2),$A$5=""),"",INDEX(DemoHistory[],$A778,MATCH($A$5,DemoHistory[#Headers],0)))</f>
        <v/>
      </c>
      <c r="D778" s="166" t="str">
        <f>IF($A778&gt;MIN($A$10,$A$2),"",IF(AND($A$12,$A$6=1,B778&lt;$A$7,$A$7&lt;=MAX(DemoHistory[Date])),$A$8,1))</f>
        <v/>
      </c>
      <c r="E778" s="166" t="str">
        <f t="shared" si="33"/>
        <v/>
      </c>
      <c r="F778" s="166" t="str">
        <f>IF($A778&gt;MIN($A$10,$A$2),"",IF($A778&lt;50,"n.a.",IF(COUNT(INDEX(StockDaily[Adjusted close],MAX(1,$A778-50+1)):E778)=50,AVERAGE(INDEX(StockDaily[Adjusted close],MAX(1,$A778-50+1)):E778),"n.a.")))</f>
        <v/>
      </c>
      <c r="G778" s="166" t="str">
        <f>IF($A778&gt;MIN($A$10,$A$2),"",IF($A778&lt;200,"n.a.",IF(COUNT(INDEX(StockDaily[Adjusted close],MAX(1,$A778-200+1)):E778)=200,AVERAGE(INDEX(StockDaily[Adjusted close],MAX(1,$A778-200+1)):E778),"n.a.")))</f>
        <v/>
      </c>
      <c r="H778" s="136" t="str">
        <f>IF($A778&gt;MIN($A$10,$A$2),"",IF($A$5="","Choose stock",IF(NOT($A$12),"Check split rule",IF(NOT(ISNUMBER(B778)),"Invalid date",IF(OR(B778&lt;=0,B778&lt;&gt;INT(B778)),"Invalid date",IF(COUNTIFS(DemoHistory[Date],B778)&lt;&gt;1,"Duplicate date",IF(AND($A778&gt;1,B778&lt;=B777),"Dates out of order",IF(NOT(ISNUMBER(C778)),"Missing price",IF(C778&lt;=0,"Nonpositive price","OK")))))))))</f>
        <v/>
      </c>
      <c r="I778" s="136"/>
      <c r="J778" s="136"/>
      <c r="K778" s="136"/>
      <c r="L778" s="136"/>
      <c r="M778" s="136"/>
      <c r="N778" s="136" t="e">
        <f t="shared" si="34"/>
        <v>#N/A</v>
      </c>
      <c r="O778" s="136" t="e">
        <f t="shared" si="35"/>
        <v>#N/A</v>
      </c>
    </row>
    <row r="779" spans="1:15" ht="22.05" customHeight="1" x14ac:dyDescent="0.3">
      <c r="A779" s="136">
        <v>735</v>
      </c>
      <c r="B779" s="165" t="str">
        <f>IF($A779&gt;MIN($A$10,$A$2),"",INDEX(DemoHistory[Date],$A779))</f>
        <v/>
      </c>
      <c r="C779" s="166" t="str">
        <f>IF(OR($A779&gt;MIN($A$10,$A$2),$A$5=""),"",INDEX(DemoHistory[],$A779,MATCH($A$5,DemoHistory[#Headers],0)))</f>
        <v/>
      </c>
      <c r="D779" s="166" t="str">
        <f>IF($A779&gt;MIN($A$10,$A$2),"",IF(AND($A$12,$A$6=1,B779&lt;$A$7,$A$7&lt;=MAX(DemoHistory[Date])),$A$8,1))</f>
        <v/>
      </c>
      <c r="E779" s="166" t="str">
        <f t="shared" si="33"/>
        <v/>
      </c>
      <c r="F779" s="166" t="str">
        <f>IF($A779&gt;MIN($A$10,$A$2),"",IF($A779&lt;50,"n.a.",IF(COUNT(INDEX(StockDaily[Adjusted close],MAX(1,$A779-50+1)):E779)=50,AVERAGE(INDEX(StockDaily[Adjusted close],MAX(1,$A779-50+1)):E779),"n.a.")))</f>
        <v/>
      </c>
      <c r="G779" s="166" t="str">
        <f>IF($A779&gt;MIN($A$10,$A$2),"",IF($A779&lt;200,"n.a.",IF(COUNT(INDEX(StockDaily[Adjusted close],MAX(1,$A779-200+1)):E779)=200,AVERAGE(INDEX(StockDaily[Adjusted close],MAX(1,$A779-200+1)):E779),"n.a.")))</f>
        <v/>
      </c>
      <c r="H779" s="136" t="str">
        <f>IF($A779&gt;MIN($A$10,$A$2),"",IF($A$5="","Choose stock",IF(NOT($A$12),"Check split rule",IF(NOT(ISNUMBER(B779)),"Invalid date",IF(OR(B779&lt;=0,B779&lt;&gt;INT(B779)),"Invalid date",IF(COUNTIFS(DemoHistory[Date],B779)&lt;&gt;1,"Duplicate date",IF(AND($A779&gt;1,B779&lt;=B778),"Dates out of order",IF(NOT(ISNUMBER(C779)),"Missing price",IF(C779&lt;=0,"Nonpositive price","OK")))))))))</f>
        <v/>
      </c>
      <c r="I779" s="136"/>
      <c r="J779" s="136"/>
      <c r="K779" s="136"/>
      <c r="L779" s="136"/>
      <c r="M779" s="136"/>
      <c r="N779" s="136" t="e">
        <f t="shared" si="34"/>
        <v>#N/A</v>
      </c>
      <c r="O779" s="136" t="e">
        <f t="shared" si="35"/>
        <v>#N/A</v>
      </c>
    </row>
    <row r="780" spans="1:15" ht="22.05" customHeight="1" x14ac:dyDescent="0.3">
      <c r="A780" s="136">
        <v>736</v>
      </c>
      <c r="B780" s="165" t="str">
        <f>IF($A780&gt;MIN($A$10,$A$2),"",INDEX(DemoHistory[Date],$A780))</f>
        <v/>
      </c>
      <c r="C780" s="166" t="str">
        <f>IF(OR($A780&gt;MIN($A$10,$A$2),$A$5=""),"",INDEX(DemoHistory[],$A780,MATCH($A$5,DemoHistory[#Headers],0)))</f>
        <v/>
      </c>
      <c r="D780" s="166" t="str">
        <f>IF($A780&gt;MIN($A$10,$A$2),"",IF(AND($A$12,$A$6=1,B780&lt;$A$7,$A$7&lt;=MAX(DemoHistory[Date])),$A$8,1))</f>
        <v/>
      </c>
      <c r="E780" s="166" t="str">
        <f t="shared" si="33"/>
        <v/>
      </c>
      <c r="F780" s="166" t="str">
        <f>IF($A780&gt;MIN($A$10,$A$2),"",IF($A780&lt;50,"n.a.",IF(COUNT(INDEX(StockDaily[Adjusted close],MAX(1,$A780-50+1)):E780)=50,AVERAGE(INDEX(StockDaily[Adjusted close],MAX(1,$A780-50+1)):E780),"n.a.")))</f>
        <v/>
      </c>
      <c r="G780" s="166" t="str">
        <f>IF($A780&gt;MIN($A$10,$A$2),"",IF($A780&lt;200,"n.a.",IF(COUNT(INDEX(StockDaily[Adjusted close],MAX(1,$A780-200+1)):E780)=200,AVERAGE(INDEX(StockDaily[Adjusted close],MAX(1,$A780-200+1)):E780),"n.a.")))</f>
        <v/>
      </c>
      <c r="H780" s="136" t="str">
        <f>IF($A780&gt;MIN($A$10,$A$2),"",IF($A$5="","Choose stock",IF(NOT($A$12),"Check split rule",IF(NOT(ISNUMBER(B780)),"Invalid date",IF(OR(B780&lt;=0,B780&lt;&gt;INT(B780)),"Invalid date",IF(COUNTIFS(DemoHistory[Date],B780)&lt;&gt;1,"Duplicate date",IF(AND($A780&gt;1,B780&lt;=B779),"Dates out of order",IF(NOT(ISNUMBER(C780)),"Missing price",IF(C780&lt;=0,"Nonpositive price","OK")))))))))</f>
        <v/>
      </c>
      <c r="I780" s="136"/>
      <c r="J780" s="136"/>
      <c r="K780" s="136"/>
      <c r="L780" s="136"/>
      <c r="M780" s="136"/>
      <c r="N780" s="136" t="e">
        <f t="shared" si="34"/>
        <v>#N/A</v>
      </c>
      <c r="O780" s="136" t="e">
        <f t="shared" si="35"/>
        <v>#N/A</v>
      </c>
    </row>
    <row r="781" spans="1:15" ht="22.05" customHeight="1" x14ac:dyDescent="0.3">
      <c r="A781" s="136">
        <v>737</v>
      </c>
      <c r="B781" s="165" t="str">
        <f>IF($A781&gt;MIN($A$10,$A$2),"",INDEX(DemoHistory[Date],$A781))</f>
        <v/>
      </c>
      <c r="C781" s="166" t="str">
        <f>IF(OR($A781&gt;MIN($A$10,$A$2),$A$5=""),"",INDEX(DemoHistory[],$A781,MATCH($A$5,DemoHistory[#Headers],0)))</f>
        <v/>
      </c>
      <c r="D781" s="166" t="str">
        <f>IF($A781&gt;MIN($A$10,$A$2),"",IF(AND($A$12,$A$6=1,B781&lt;$A$7,$A$7&lt;=MAX(DemoHistory[Date])),$A$8,1))</f>
        <v/>
      </c>
      <c r="E781" s="166" t="str">
        <f t="shared" si="33"/>
        <v/>
      </c>
      <c r="F781" s="166" t="str">
        <f>IF($A781&gt;MIN($A$10,$A$2),"",IF($A781&lt;50,"n.a.",IF(COUNT(INDEX(StockDaily[Adjusted close],MAX(1,$A781-50+1)):E781)=50,AVERAGE(INDEX(StockDaily[Adjusted close],MAX(1,$A781-50+1)):E781),"n.a.")))</f>
        <v/>
      </c>
      <c r="G781" s="166" t="str">
        <f>IF($A781&gt;MIN($A$10,$A$2),"",IF($A781&lt;200,"n.a.",IF(COUNT(INDEX(StockDaily[Adjusted close],MAX(1,$A781-200+1)):E781)=200,AVERAGE(INDEX(StockDaily[Adjusted close],MAX(1,$A781-200+1)):E781),"n.a.")))</f>
        <v/>
      </c>
      <c r="H781" s="136" t="str">
        <f>IF($A781&gt;MIN($A$10,$A$2),"",IF($A$5="","Choose stock",IF(NOT($A$12),"Check split rule",IF(NOT(ISNUMBER(B781)),"Invalid date",IF(OR(B781&lt;=0,B781&lt;&gt;INT(B781)),"Invalid date",IF(COUNTIFS(DemoHistory[Date],B781)&lt;&gt;1,"Duplicate date",IF(AND($A781&gt;1,B781&lt;=B780),"Dates out of order",IF(NOT(ISNUMBER(C781)),"Missing price",IF(C781&lt;=0,"Nonpositive price","OK")))))))))</f>
        <v/>
      </c>
      <c r="I781" s="136"/>
      <c r="J781" s="136"/>
      <c r="K781" s="136"/>
      <c r="L781" s="136"/>
      <c r="M781" s="136"/>
      <c r="N781" s="136" t="e">
        <f t="shared" si="34"/>
        <v>#N/A</v>
      </c>
      <c r="O781" s="136" t="e">
        <f t="shared" si="35"/>
        <v>#N/A</v>
      </c>
    </row>
    <row r="782" spans="1:15" ht="22.05" customHeight="1" x14ac:dyDescent="0.3">
      <c r="A782" s="136">
        <v>738</v>
      </c>
      <c r="B782" s="165" t="str">
        <f>IF($A782&gt;MIN($A$10,$A$2),"",INDEX(DemoHistory[Date],$A782))</f>
        <v/>
      </c>
      <c r="C782" s="166" t="str">
        <f>IF(OR($A782&gt;MIN($A$10,$A$2),$A$5=""),"",INDEX(DemoHistory[],$A782,MATCH($A$5,DemoHistory[#Headers],0)))</f>
        <v/>
      </c>
      <c r="D782" s="166" t="str">
        <f>IF($A782&gt;MIN($A$10,$A$2),"",IF(AND($A$12,$A$6=1,B782&lt;$A$7,$A$7&lt;=MAX(DemoHistory[Date])),$A$8,1))</f>
        <v/>
      </c>
      <c r="E782" s="166" t="str">
        <f t="shared" si="33"/>
        <v/>
      </c>
      <c r="F782" s="166" t="str">
        <f>IF($A782&gt;MIN($A$10,$A$2),"",IF($A782&lt;50,"n.a.",IF(COUNT(INDEX(StockDaily[Adjusted close],MAX(1,$A782-50+1)):E782)=50,AVERAGE(INDEX(StockDaily[Adjusted close],MAX(1,$A782-50+1)):E782),"n.a.")))</f>
        <v/>
      </c>
      <c r="G782" s="166" t="str">
        <f>IF($A782&gt;MIN($A$10,$A$2),"",IF($A782&lt;200,"n.a.",IF(COUNT(INDEX(StockDaily[Adjusted close],MAX(1,$A782-200+1)):E782)=200,AVERAGE(INDEX(StockDaily[Adjusted close],MAX(1,$A782-200+1)):E782),"n.a.")))</f>
        <v/>
      </c>
      <c r="H782" s="136" t="str">
        <f>IF($A782&gt;MIN($A$10,$A$2),"",IF($A$5="","Choose stock",IF(NOT($A$12),"Check split rule",IF(NOT(ISNUMBER(B782)),"Invalid date",IF(OR(B782&lt;=0,B782&lt;&gt;INT(B782)),"Invalid date",IF(COUNTIFS(DemoHistory[Date],B782)&lt;&gt;1,"Duplicate date",IF(AND($A782&gt;1,B782&lt;=B781),"Dates out of order",IF(NOT(ISNUMBER(C782)),"Missing price",IF(C782&lt;=0,"Nonpositive price","OK")))))))))</f>
        <v/>
      </c>
      <c r="I782" s="136"/>
      <c r="J782" s="136"/>
      <c r="K782" s="136"/>
      <c r="L782" s="136"/>
      <c r="M782" s="136"/>
      <c r="N782" s="136" t="e">
        <f t="shared" si="34"/>
        <v>#N/A</v>
      </c>
      <c r="O782" s="136" t="e">
        <f t="shared" si="35"/>
        <v>#N/A</v>
      </c>
    </row>
    <row r="783" spans="1:15" ht="22.05" customHeight="1" x14ac:dyDescent="0.3">
      <c r="A783" s="136">
        <v>739</v>
      </c>
      <c r="B783" s="165" t="str">
        <f>IF($A783&gt;MIN($A$10,$A$2),"",INDEX(DemoHistory[Date],$A783))</f>
        <v/>
      </c>
      <c r="C783" s="166" t="str">
        <f>IF(OR($A783&gt;MIN($A$10,$A$2),$A$5=""),"",INDEX(DemoHistory[],$A783,MATCH($A$5,DemoHistory[#Headers],0)))</f>
        <v/>
      </c>
      <c r="D783" s="166" t="str">
        <f>IF($A783&gt;MIN($A$10,$A$2),"",IF(AND($A$12,$A$6=1,B783&lt;$A$7,$A$7&lt;=MAX(DemoHistory[Date])),$A$8,1))</f>
        <v/>
      </c>
      <c r="E783" s="166" t="str">
        <f t="shared" si="33"/>
        <v/>
      </c>
      <c r="F783" s="166" t="str">
        <f>IF($A783&gt;MIN($A$10,$A$2),"",IF($A783&lt;50,"n.a.",IF(COUNT(INDEX(StockDaily[Adjusted close],MAX(1,$A783-50+1)):E783)=50,AVERAGE(INDEX(StockDaily[Adjusted close],MAX(1,$A783-50+1)):E783),"n.a.")))</f>
        <v/>
      </c>
      <c r="G783" s="166" t="str">
        <f>IF($A783&gt;MIN($A$10,$A$2),"",IF($A783&lt;200,"n.a.",IF(COUNT(INDEX(StockDaily[Adjusted close],MAX(1,$A783-200+1)):E783)=200,AVERAGE(INDEX(StockDaily[Adjusted close],MAX(1,$A783-200+1)):E783),"n.a.")))</f>
        <v/>
      </c>
      <c r="H783" s="136" t="str">
        <f>IF($A783&gt;MIN($A$10,$A$2),"",IF($A$5="","Choose stock",IF(NOT($A$12),"Check split rule",IF(NOT(ISNUMBER(B783)),"Invalid date",IF(OR(B783&lt;=0,B783&lt;&gt;INT(B783)),"Invalid date",IF(COUNTIFS(DemoHistory[Date],B783)&lt;&gt;1,"Duplicate date",IF(AND($A783&gt;1,B783&lt;=B782),"Dates out of order",IF(NOT(ISNUMBER(C783)),"Missing price",IF(C783&lt;=0,"Nonpositive price","OK")))))))))</f>
        <v/>
      </c>
      <c r="I783" s="136"/>
      <c r="J783" s="136"/>
      <c r="K783" s="136"/>
      <c r="L783" s="136"/>
      <c r="M783" s="136"/>
      <c r="N783" s="136" t="e">
        <f t="shared" si="34"/>
        <v>#N/A</v>
      </c>
      <c r="O783" s="136" t="e">
        <f t="shared" si="35"/>
        <v>#N/A</v>
      </c>
    </row>
    <row r="784" spans="1:15" ht="22.05" customHeight="1" x14ac:dyDescent="0.3">
      <c r="A784" s="136">
        <v>740</v>
      </c>
      <c r="B784" s="165" t="str">
        <f>IF($A784&gt;MIN($A$10,$A$2),"",INDEX(DemoHistory[Date],$A784))</f>
        <v/>
      </c>
      <c r="C784" s="166" t="str">
        <f>IF(OR($A784&gt;MIN($A$10,$A$2),$A$5=""),"",INDEX(DemoHistory[],$A784,MATCH($A$5,DemoHistory[#Headers],0)))</f>
        <v/>
      </c>
      <c r="D784" s="166" t="str">
        <f>IF($A784&gt;MIN($A$10,$A$2),"",IF(AND($A$12,$A$6=1,B784&lt;$A$7,$A$7&lt;=MAX(DemoHistory[Date])),$A$8,1))</f>
        <v/>
      </c>
      <c r="E784" s="166" t="str">
        <f t="shared" si="33"/>
        <v/>
      </c>
      <c r="F784" s="166" t="str">
        <f>IF($A784&gt;MIN($A$10,$A$2),"",IF($A784&lt;50,"n.a.",IF(COUNT(INDEX(StockDaily[Adjusted close],MAX(1,$A784-50+1)):E784)=50,AVERAGE(INDEX(StockDaily[Adjusted close],MAX(1,$A784-50+1)):E784),"n.a.")))</f>
        <v/>
      </c>
      <c r="G784" s="166" t="str">
        <f>IF($A784&gt;MIN($A$10,$A$2),"",IF($A784&lt;200,"n.a.",IF(COUNT(INDEX(StockDaily[Adjusted close],MAX(1,$A784-200+1)):E784)=200,AVERAGE(INDEX(StockDaily[Adjusted close],MAX(1,$A784-200+1)):E784),"n.a.")))</f>
        <v/>
      </c>
      <c r="H784" s="136" t="str">
        <f>IF($A784&gt;MIN($A$10,$A$2),"",IF($A$5="","Choose stock",IF(NOT($A$12),"Check split rule",IF(NOT(ISNUMBER(B784)),"Invalid date",IF(OR(B784&lt;=0,B784&lt;&gt;INT(B784)),"Invalid date",IF(COUNTIFS(DemoHistory[Date],B784)&lt;&gt;1,"Duplicate date",IF(AND($A784&gt;1,B784&lt;=B783),"Dates out of order",IF(NOT(ISNUMBER(C784)),"Missing price",IF(C784&lt;=0,"Nonpositive price","OK")))))))))</f>
        <v/>
      </c>
      <c r="I784" s="136"/>
      <c r="J784" s="136"/>
      <c r="K784" s="136"/>
      <c r="L784" s="136"/>
      <c r="M784" s="136"/>
      <c r="N784" s="136" t="e">
        <f t="shared" si="34"/>
        <v>#N/A</v>
      </c>
      <c r="O784" s="136" t="e">
        <f t="shared" si="35"/>
        <v>#N/A</v>
      </c>
    </row>
    <row r="785" spans="1:15" ht="22.05" customHeight="1" x14ac:dyDescent="0.3">
      <c r="A785" s="136">
        <v>741</v>
      </c>
      <c r="B785" s="165" t="str">
        <f>IF($A785&gt;MIN($A$10,$A$2),"",INDEX(DemoHistory[Date],$A785))</f>
        <v/>
      </c>
      <c r="C785" s="166" t="str">
        <f>IF(OR($A785&gt;MIN($A$10,$A$2),$A$5=""),"",INDEX(DemoHistory[],$A785,MATCH($A$5,DemoHistory[#Headers],0)))</f>
        <v/>
      </c>
      <c r="D785" s="166" t="str">
        <f>IF($A785&gt;MIN($A$10,$A$2),"",IF(AND($A$12,$A$6=1,B785&lt;$A$7,$A$7&lt;=MAX(DemoHistory[Date])),$A$8,1))</f>
        <v/>
      </c>
      <c r="E785" s="166" t="str">
        <f t="shared" si="33"/>
        <v/>
      </c>
      <c r="F785" s="166" t="str">
        <f>IF($A785&gt;MIN($A$10,$A$2),"",IF($A785&lt;50,"n.a.",IF(COUNT(INDEX(StockDaily[Adjusted close],MAX(1,$A785-50+1)):E785)=50,AVERAGE(INDEX(StockDaily[Adjusted close],MAX(1,$A785-50+1)):E785),"n.a.")))</f>
        <v/>
      </c>
      <c r="G785" s="166" t="str">
        <f>IF($A785&gt;MIN($A$10,$A$2),"",IF($A785&lt;200,"n.a.",IF(COUNT(INDEX(StockDaily[Adjusted close],MAX(1,$A785-200+1)):E785)=200,AVERAGE(INDEX(StockDaily[Adjusted close],MAX(1,$A785-200+1)):E785),"n.a.")))</f>
        <v/>
      </c>
      <c r="H785" s="136" t="str">
        <f>IF($A785&gt;MIN($A$10,$A$2),"",IF($A$5="","Choose stock",IF(NOT($A$12),"Check split rule",IF(NOT(ISNUMBER(B785)),"Invalid date",IF(OR(B785&lt;=0,B785&lt;&gt;INT(B785)),"Invalid date",IF(COUNTIFS(DemoHistory[Date],B785)&lt;&gt;1,"Duplicate date",IF(AND($A785&gt;1,B785&lt;=B784),"Dates out of order",IF(NOT(ISNUMBER(C785)),"Missing price",IF(C785&lt;=0,"Nonpositive price","OK")))))))))</f>
        <v/>
      </c>
      <c r="I785" s="136"/>
      <c r="J785" s="136"/>
      <c r="K785" s="136"/>
      <c r="L785" s="136"/>
      <c r="M785" s="136"/>
      <c r="N785" s="136" t="e">
        <f t="shared" si="34"/>
        <v>#N/A</v>
      </c>
      <c r="O785" s="136" t="e">
        <f t="shared" si="35"/>
        <v>#N/A</v>
      </c>
    </row>
    <row r="786" spans="1:15" ht="22.05" customHeight="1" x14ac:dyDescent="0.3">
      <c r="A786" s="136">
        <v>742</v>
      </c>
      <c r="B786" s="165" t="str">
        <f>IF($A786&gt;MIN($A$10,$A$2),"",INDEX(DemoHistory[Date],$A786))</f>
        <v/>
      </c>
      <c r="C786" s="166" t="str">
        <f>IF(OR($A786&gt;MIN($A$10,$A$2),$A$5=""),"",INDEX(DemoHistory[],$A786,MATCH($A$5,DemoHistory[#Headers],0)))</f>
        <v/>
      </c>
      <c r="D786" s="166" t="str">
        <f>IF($A786&gt;MIN($A$10,$A$2),"",IF(AND($A$12,$A$6=1,B786&lt;$A$7,$A$7&lt;=MAX(DemoHistory[Date])),$A$8,1))</f>
        <v/>
      </c>
      <c r="E786" s="166" t="str">
        <f t="shared" si="33"/>
        <v/>
      </c>
      <c r="F786" s="166" t="str">
        <f>IF($A786&gt;MIN($A$10,$A$2),"",IF($A786&lt;50,"n.a.",IF(COUNT(INDEX(StockDaily[Adjusted close],MAX(1,$A786-50+1)):E786)=50,AVERAGE(INDEX(StockDaily[Adjusted close],MAX(1,$A786-50+1)):E786),"n.a.")))</f>
        <v/>
      </c>
      <c r="G786" s="166" t="str">
        <f>IF($A786&gt;MIN($A$10,$A$2),"",IF($A786&lt;200,"n.a.",IF(COUNT(INDEX(StockDaily[Adjusted close],MAX(1,$A786-200+1)):E786)=200,AVERAGE(INDEX(StockDaily[Adjusted close],MAX(1,$A786-200+1)):E786),"n.a.")))</f>
        <v/>
      </c>
      <c r="H786" s="136" t="str">
        <f>IF($A786&gt;MIN($A$10,$A$2),"",IF($A$5="","Choose stock",IF(NOT($A$12),"Check split rule",IF(NOT(ISNUMBER(B786)),"Invalid date",IF(OR(B786&lt;=0,B786&lt;&gt;INT(B786)),"Invalid date",IF(COUNTIFS(DemoHistory[Date],B786)&lt;&gt;1,"Duplicate date",IF(AND($A786&gt;1,B786&lt;=B785),"Dates out of order",IF(NOT(ISNUMBER(C786)),"Missing price",IF(C786&lt;=0,"Nonpositive price","OK")))))))))</f>
        <v/>
      </c>
      <c r="I786" s="136"/>
      <c r="J786" s="136"/>
      <c r="K786" s="136"/>
      <c r="L786" s="136"/>
      <c r="M786" s="136"/>
      <c r="N786" s="136" t="e">
        <f t="shared" si="34"/>
        <v>#N/A</v>
      </c>
      <c r="O786" s="136" t="e">
        <f t="shared" si="35"/>
        <v>#N/A</v>
      </c>
    </row>
    <row r="787" spans="1:15" ht="22.05" customHeight="1" x14ac:dyDescent="0.3">
      <c r="A787" s="136">
        <v>743</v>
      </c>
      <c r="B787" s="165" t="str">
        <f>IF($A787&gt;MIN($A$10,$A$2),"",INDEX(DemoHistory[Date],$A787))</f>
        <v/>
      </c>
      <c r="C787" s="166" t="str">
        <f>IF(OR($A787&gt;MIN($A$10,$A$2),$A$5=""),"",INDEX(DemoHistory[],$A787,MATCH($A$5,DemoHistory[#Headers],0)))</f>
        <v/>
      </c>
      <c r="D787" s="166" t="str">
        <f>IF($A787&gt;MIN($A$10,$A$2),"",IF(AND($A$12,$A$6=1,B787&lt;$A$7,$A$7&lt;=MAX(DemoHistory[Date])),$A$8,1))</f>
        <v/>
      </c>
      <c r="E787" s="166" t="str">
        <f t="shared" si="33"/>
        <v/>
      </c>
      <c r="F787" s="166" t="str">
        <f>IF($A787&gt;MIN($A$10,$A$2),"",IF($A787&lt;50,"n.a.",IF(COUNT(INDEX(StockDaily[Adjusted close],MAX(1,$A787-50+1)):E787)=50,AVERAGE(INDEX(StockDaily[Adjusted close],MAX(1,$A787-50+1)):E787),"n.a.")))</f>
        <v/>
      </c>
      <c r="G787" s="166" t="str">
        <f>IF($A787&gt;MIN($A$10,$A$2),"",IF($A787&lt;200,"n.a.",IF(COUNT(INDEX(StockDaily[Adjusted close],MAX(1,$A787-200+1)):E787)=200,AVERAGE(INDEX(StockDaily[Adjusted close],MAX(1,$A787-200+1)):E787),"n.a.")))</f>
        <v/>
      </c>
      <c r="H787" s="136" t="str">
        <f>IF($A787&gt;MIN($A$10,$A$2),"",IF($A$5="","Choose stock",IF(NOT($A$12),"Check split rule",IF(NOT(ISNUMBER(B787)),"Invalid date",IF(OR(B787&lt;=0,B787&lt;&gt;INT(B787)),"Invalid date",IF(COUNTIFS(DemoHistory[Date],B787)&lt;&gt;1,"Duplicate date",IF(AND($A787&gt;1,B787&lt;=B786),"Dates out of order",IF(NOT(ISNUMBER(C787)),"Missing price",IF(C787&lt;=0,"Nonpositive price","OK")))))))))</f>
        <v/>
      </c>
      <c r="I787" s="136"/>
      <c r="J787" s="136"/>
      <c r="K787" s="136"/>
      <c r="L787" s="136"/>
      <c r="M787" s="136"/>
      <c r="N787" s="136" t="e">
        <f t="shared" si="34"/>
        <v>#N/A</v>
      </c>
      <c r="O787" s="136" t="e">
        <f t="shared" si="35"/>
        <v>#N/A</v>
      </c>
    </row>
    <row r="788" spans="1:15" ht="22.05" customHeight="1" x14ac:dyDescent="0.3">
      <c r="A788" s="136">
        <v>744</v>
      </c>
      <c r="B788" s="165" t="str">
        <f>IF($A788&gt;MIN($A$10,$A$2),"",INDEX(DemoHistory[Date],$A788))</f>
        <v/>
      </c>
      <c r="C788" s="166" t="str">
        <f>IF(OR($A788&gt;MIN($A$10,$A$2),$A$5=""),"",INDEX(DemoHistory[],$A788,MATCH($A$5,DemoHistory[#Headers],0)))</f>
        <v/>
      </c>
      <c r="D788" s="166" t="str">
        <f>IF($A788&gt;MIN($A$10,$A$2),"",IF(AND($A$12,$A$6=1,B788&lt;$A$7,$A$7&lt;=MAX(DemoHistory[Date])),$A$8,1))</f>
        <v/>
      </c>
      <c r="E788" s="166" t="str">
        <f t="shared" si="33"/>
        <v/>
      </c>
      <c r="F788" s="166" t="str">
        <f>IF($A788&gt;MIN($A$10,$A$2),"",IF($A788&lt;50,"n.a.",IF(COUNT(INDEX(StockDaily[Adjusted close],MAX(1,$A788-50+1)):E788)=50,AVERAGE(INDEX(StockDaily[Adjusted close],MAX(1,$A788-50+1)):E788),"n.a.")))</f>
        <v/>
      </c>
      <c r="G788" s="166" t="str">
        <f>IF($A788&gt;MIN($A$10,$A$2),"",IF($A788&lt;200,"n.a.",IF(COUNT(INDEX(StockDaily[Adjusted close],MAX(1,$A788-200+1)):E788)=200,AVERAGE(INDEX(StockDaily[Adjusted close],MAX(1,$A788-200+1)):E788),"n.a.")))</f>
        <v/>
      </c>
      <c r="H788" s="136" t="str">
        <f>IF($A788&gt;MIN($A$10,$A$2),"",IF($A$5="","Choose stock",IF(NOT($A$12),"Check split rule",IF(NOT(ISNUMBER(B788)),"Invalid date",IF(OR(B788&lt;=0,B788&lt;&gt;INT(B788)),"Invalid date",IF(COUNTIFS(DemoHistory[Date],B788)&lt;&gt;1,"Duplicate date",IF(AND($A788&gt;1,B788&lt;=B787),"Dates out of order",IF(NOT(ISNUMBER(C788)),"Missing price",IF(C788&lt;=0,"Nonpositive price","OK")))))))))</f>
        <v/>
      </c>
      <c r="I788" s="136"/>
      <c r="J788" s="136"/>
      <c r="K788" s="136"/>
      <c r="L788" s="136"/>
      <c r="M788" s="136"/>
      <c r="N788" s="136" t="e">
        <f t="shared" si="34"/>
        <v>#N/A</v>
      </c>
      <c r="O788" s="136" t="e">
        <f t="shared" si="35"/>
        <v>#N/A</v>
      </c>
    </row>
    <row r="789" spans="1:15" ht="22.05" customHeight="1" x14ac:dyDescent="0.3">
      <c r="A789" s="136">
        <v>745</v>
      </c>
      <c r="B789" s="165" t="str">
        <f>IF($A789&gt;MIN($A$10,$A$2),"",INDEX(DemoHistory[Date],$A789))</f>
        <v/>
      </c>
      <c r="C789" s="166" t="str">
        <f>IF(OR($A789&gt;MIN($A$10,$A$2),$A$5=""),"",INDEX(DemoHistory[],$A789,MATCH($A$5,DemoHistory[#Headers],0)))</f>
        <v/>
      </c>
      <c r="D789" s="166" t="str">
        <f>IF($A789&gt;MIN($A$10,$A$2),"",IF(AND($A$12,$A$6=1,B789&lt;$A$7,$A$7&lt;=MAX(DemoHistory[Date])),$A$8,1))</f>
        <v/>
      </c>
      <c r="E789" s="166" t="str">
        <f t="shared" si="33"/>
        <v/>
      </c>
      <c r="F789" s="166" t="str">
        <f>IF($A789&gt;MIN($A$10,$A$2),"",IF($A789&lt;50,"n.a.",IF(COUNT(INDEX(StockDaily[Adjusted close],MAX(1,$A789-50+1)):E789)=50,AVERAGE(INDEX(StockDaily[Adjusted close],MAX(1,$A789-50+1)):E789),"n.a.")))</f>
        <v/>
      </c>
      <c r="G789" s="166" t="str">
        <f>IF($A789&gt;MIN($A$10,$A$2),"",IF($A789&lt;200,"n.a.",IF(COUNT(INDEX(StockDaily[Adjusted close],MAX(1,$A789-200+1)):E789)=200,AVERAGE(INDEX(StockDaily[Adjusted close],MAX(1,$A789-200+1)):E789),"n.a.")))</f>
        <v/>
      </c>
      <c r="H789" s="136" t="str">
        <f>IF($A789&gt;MIN($A$10,$A$2),"",IF($A$5="","Choose stock",IF(NOT($A$12),"Check split rule",IF(NOT(ISNUMBER(B789)),"Invalid date",IF(OR(B789&lt;=0,B789&lt;&gt;INT(B789)),"Invalid date",IF(COUNTIFS(DemoHistory[Date],B789)&lt;&gt;1,"Duplicate date",IF(AND($A789&gt;1,B789&lt;=B788),"Dates out of order",IF(NOT(ISNUMBER(C789)),"Missing price",IF(C789&lt;=0,"Nonpositive price","OK")))))))))</f>
        <v/>
      </c>
      <c r="I789" s="136"/>
      <c r="J789" s="136"/>
      <c r="K789" s="136"/>
      <c r="L789" s="136"/>
      <c r="M789" s="136"/>
      <c r="N789" s="136" t="e">
        <f t="shared" si="34"/>
        <v>#N/A</v>
      </c>
      <c r="O789" s="136" t="e">
        <f t="shared" si="35"/>
        <v>#N/A</v>
      </c>
    </row>
    <row r="790" spans="1:15" ht="22.05" customHeight="1" x14ac:dyDescent="0.3">
      <c r="A790" s="136">
        <v>746</v>
      </c>
      <c r="B790" s="165" t="str">
        <f>IF($A790&gt;MIN($A$10,$A$2),"",INDEX(DemoHistory[Date],$A790))</f>
        <v/>
      </c>
      <c r="C790" s="166" t="str">
        <f>IF(OR($A790&gt;MIN($A$10,$A$2),$A$5=""),"",INDEX(DemoHistory[],$A790,MATCH($A$5,DemoHistory[#Headers],0)))</f>
        <v/>
      </c>
      <c r="D790" s="166" t="str">
        <f>IF($A790&gt;MIN($A$10,$A$2),"",IF(AND($A$12,$A$6=1,B790&lt;$A$7,$A$7&lt;=MAX(DemoHistory[Date])),$A$8,1))</f>
        <v/>
      </c>
      <c r="E790" s="166" t="str">
        <f t="shared" si="33"/>
        <v/>
      </c>
      <c r="F790" s="166" t="str">
        <f>IF($A790&gt;MIN($A$10,$A$2),"",IF($A790&lt;50,"n.a.",IF(COUNT(INDEX(StockDaily[Adjusted close],MAX(1,$A790-50+1)):E790)=50,AVERAGE(INDEX(StockDaily[Adjusted close],MAX(1,$A790-50+1)):E790),"n.a.")))</f>
        <v/>
      </c>
      <c r="G790" s="166" t="str">
        <f>IF($A790&gt;MIN($A$10,$A$2),"",IF($A790&lt;200,"n.a.",IF(COUNT(INDEX(StockDaily[Adjusted close],MAX(1,$A790-200+1)):E790)=200,AVERAGE(INDEX(StockDaily[Adjusted close],MAX(1,$A790-200+1)):E790),"n.a.")))</f>
        <v/>
      </c>
      <c r="H790" s="136" t="str">
        <f>IF($A790&gt;MIN($A$10,$A$2),"",IF($A$5="","Choose stock",IF(NOT($A$12),"Check split rule",IF(NOT(ISNUMBER(B790)),"Invalid date",IF(OR(B790&lt;=0,B790&lt;&gt;INT(B790)),"Invalid date",IF(COUNTIFS(DemoHistory[Date],B790)&lt;&gt;1,"Duplicate date",IF(AND($A790&gt;1,B790&lt;=B789),"Dates out of order",IF(NOT(ISNUMBER(C790)),"Missing price",IF(C790&lt;=0,"Nonpositive price","OK")))))))))</f>
        <v/>
      </c>
      <c r="I790" s="136"/>
      <c r="J790" s="136"/>
      <c r="K790" s="136"/>
      <c r="L790" s="136"/>
      <c r="M790" s="136"/>
      <c r="N790" s="136" t="e">
        <f t="shared" si="34"/>
        <v>#N/A</v>
      </c>
      <c r="O790" s="136" t="e">
        <f t="shared" si="35"/>
        <v>#N/A</v>
      </c>
    </row>
    <row r="791" spans="1:15" ht="22.05" customHeight="1" x14ac:dyDescent="0.3">
      <c r="A791" s="136">
        <v>747</v>
      </c>
      <c r="B791" s="165" t="str">
        <f>IF($A791&gt;MIN($A$10,$A$2),"",INDEX(DemoHistory[Date],$A791))</f>
        <v/>
      </c>
      <c r="C791" s="166" t="str">
        <f>IF(OR($A791&gt;MIN($A$10,$A$2),$A$5=""),"",INDEX(DemoHistory[],$A791,MATCH($A$5,DemoHistory[#Headers],0)))</f>
        <v/>
      </c>
      <c r="D791" s="166" t="str">
        <f>IF($A791&gt;MIN($A$10,$A$2),"",IF(AND($A$12,$A$6=1,B791&lt;$A$7,$A$7&lt;=MAX(DemoHistory[Date])),$A$8,1))</f>
        <v/>
      </c>
      <c r="E791" s="166" t="str">
        <f t="shared" si="33"/>
        <v/>
      </c>
      <c r="F791" s="166" t="str">
        <f>IF($A791&gt;MIN($A$10,$A$2),"",IF($A791&lt;50,"n.a.",IF(COUNT(INDEX(StockDaily[Adjusted close],MAX(1,$A791-50+1)):E791)=50,AVERAGE(INDEX(StockDaily[Adjusted close],MAX(1,$A791-50+1)):E791),"n.a.")))</f>
        <v/>
      </c>
      <c r="G791" s="166" t="str">
        <f>IF($A791&gt;MIN($A$10,$A$2),"",IF($A791&lt;200,"n.a.",IF(COUNT(INDEX(StockDaily[Adjusted close],MAX(1,$A791-200+1)):E791)=200,AVERAGE(INDEX(StockDaily[Adjusted close],MAX(1,$A791-200+1)):E791),"n.a.")))</f>
        <v/>
      </c>
      <c r="H791" s="136" t="str">
        <f>IF($A791&gt;MIN($A$10,$A$2),"",IF($A$5="","Choose stock",IF(NOT($A$12),"Check split rule",IF(NOT(ISNUMBER(B791)),"Invalid date",IF(OR(B791&lt;=0,B791&lt;&gt;INT(B791)),"Invalid date",IF(COUNTIFS(DemoHistory[Date],B791)&lt;&gt;1,"Duplicate date",IF(AND($A791&gt;1,B791&lt;=B790),"Dates out of order",IF(NOT(ISNUMBER(C791)),"Missing price",IF(C791&lt;=0,"Nonpositive price","OK")))))))))</f>
        <v/>
      </c>
      <c r="I791" s="136"/>
      <c r="J791" s="136"/>
      <c r="K791" s="136"/>
      <c r="L791" s="136"/>
      <c r="M791" s="136"/>
      <c r="N791" s="136" t="e">
        <f t="shared" si="34"/>
        <v>#N/A</v>
      </c>
      <c r="O791" s="136" t="e">
        <f t="shared" si="35"/>
        <v>#N/A</v>
      </c>
    </row>
    <row r="792" spans="1:15" ht="22.05" customHeight="1" x14ac:dyDescent="0.3">
      <c r="A792" s="136">
        <v>748</v>
      </c>
      <c r="B792" s="165" t="str">
        <f>IF($A792&gt;MIN($A$10,$A$2),"",INDEX(DemoHistory[Date],$A792))</f>
        <v/>
      </c>
      <c r="C792" s="166" t="str">
        <f>IF(OR($A792&gt;MIN($A$10,$A$2),$A$5=""),"",INDEX(DemoHistory[],$A792,MATCH($A$5,DemoHistory[#Headers],0)))</f>
        <v/>
      </c>
      <c r="D792" s="166" t="str">
        <f>IF($A792&gt;MIN($A$10,$A$2),"",IF(AND($A$12,$A$6=1,B792&lt;$A$7,$A$7&lt;=MAX(DemoHistory[Date])),$A$8,1))</f>
        <v/>
      </c>
      <c r="E792" s="166" t="str">
        <f t="shared" si="33"/>
        <v/>
      </c>
      <c r="F792" s="166" t="str">
        <f>IF($A792&gt;MIN($A$10,$A$2),"",IF($A792&lt;50,"n.a.",IF(COUNT(INDEX(StockDaily[Adjusted close],MAX(1,$A792-50+1)):E792)=50,AVERAGE(INDEX(StockDaily[Adjusted close],MAX(1,$A792-50+1)):E792),"n.a.")))</f>
        <v/>
      </c>
      <c r="G792" s="166" t="str">
        <f>IF($A792&gt;MIN($A$10,$A$2),"",IF($A792&lt;200,"n.a.",IF(COUNT(INDEX(StockDaily[Adjusted close],MAX(1,$A792-200+1)):E792)=200,AVERAGE(INDEX(StockDaily[Adjusted close],MAX(1,$A792-200+1)):E792),"n.a.")))</f>
        <v/>
      </c>
      <c r="H792" s="136" t="str">
        <f>IF($A792&gt;MIN($A$10,$A$2),"",IF($A$5="","Choose stock",IF(NOT($A$12),"Check split rule",IF(NOT(ISNUMBER(B792)),"Invalid date",IF(OR(B792&lt;=0,B792&lt;&gt;INT(B792)),"Invalid date",IF(COUNTIFS(DemoHistory[Date],B792)&lt;&gt;1,"Duplicate date",IF(AND($A792&gt;1,B792&lt;=B791),"Dates out of order",IF(NOT(ISNUMBER(C792)),"Missing price",IF(C792&lt;=0,"Nonpositive price","OK")))))))))</f>
        <v/>
      </c>
      <c r="I792" s="136"/>
      <c r="J792" s="136"/>
      <c r="K792" s="136"/>
      <c r="L792" s="136"/>
      <c r="M792" s="136"/>
      <c r="N792" s="136" t="e">
        <f t="shared" si="34"/>
        <v>#N/A</v>
      </c>
      <c r="O792" s="136" t="e">
        <f t="shared" si="35"/>
        <v>#N/A</v>
      </c>
    </row>
    <row r="793" spans="1:15" ht="22.05" customHeight="1" x14ac:dyDescent="0.3">
      <c r="A793" s="136">
        <v>749</v>
      </c>
      <c r="B793" s="165" t="str">
        <f>IF($A793&gt;MIN($A$10,$A$2),"",INDEX(DemoHistory[Date],$A793))</f>
        <v/>
      </c>
      <c r="C793" s="166" t="str">
        <f>IF(OR($A793&gt;MIN($A$10,$A$2),$A$5=""),"",INDEX(DemoHistory[],$A793,MATCH($A$5,DemoHistory[#Headers],0)))</f>
        <v/>
      </c>
      <c r="D793" s="166" t="str">
        <f>IF($A793&gt;MIN($A$10,$A$2),"",IF(AND($A$12,$A$6=1,B793&lt;$A$7,$A$7&lt;=MAX(DemoHistory[Date])),$A$8,1))</f>
        <v/>
      </c>
      <c r="E793" s="166" t="str">
        <f t="shared" si="33"/>
        <v/>
      </c>
      <c r="F793" s="166" t="str">
        <f>IF($A793&gt;MIN($A$10,$A$2),"",IF($A793&lt;50,"n.a.",IF(COUNT(INDEX(StockDaily[Adjusted close],MAX(1,$A793-50+1)):E793)=50,AVERAGE(INDEX(StockDaily[Adjusted close],MAX(1,$A793-50+1)):E793),"n.a.")))</f>
        <v/>
      </c>
      <c r="G793" s="166" t="str">
        <f>IF($A793&gt;MIN($A$10,$A$2),"",IF($A793&lt;200,"n.a.",IF(COUNT(INDEX(StockDaily[Adjusted close],MAX(1,$A793-200+1)):E793)=200,AVERAGE(INDEX(StockDaily[Adjusted close],MAX(1,$A793-200+1)):E793),"n.a.")))</f>
        <v/>
      </c>
      <c r="H793" s="136" t="str">
        <f>IF($A793&gt;MIN($A$10,$A$2),"",IF($A$5="","Choose stock",IF(NOT($A$12),"Check split rule",IF(NOT(ISNUMBER(B793)),"Invalid date",IF(OR(B793&lt;=0,B793&lt;&gt;INT(B793)),"Invalid date",IF(COUNTIFS(DemoHistory[Date],B793)&lt;&gt;1,"Duplicate date",IF(AND($A793&gt;1,B793&lt;=B792),"Dates out of order",IF(NOT(ISNUMBER(C793)),"Missing price",IF(C793&lt;=0,"Nonpositive price","OK")))))))))</f>
        <v/>
      </c>
      <c r="I793" s="136"/>
      <c r="J793" s="136"/>
      <c r="K793" s="136"/>
      <c r="L793" s="136"/>
      <c r="M793" s="136"/>
      <c r="N793" s="136" t="e">
        <f t="shared" si="34"/>
        <v>#N/A</v>
      </c>
      <c r="O793" s="136" t="e">
        <f t="shared" si="35"/>
        <v>#N/A</v>
      </c>
    </row>
    <row r="794" spans="1:15" ht="22.05" customHeight="1" x14ac:dyDescent="0.3">
      <c r="A794" s="136">
        <v>750</v>
      </c>
      <c r="B794" s="165" t="str">
        <f>IF($A794&gt;MIN($A$10,$A$2),"",INDEX(DemoHistory[Date],$A794))</f>
        <v/>
      </c>
      <c r="C794" s="166" t="str">
        <f>IF(OR($A794&gt;MIN($A$10,$A$2),$A$5=""),"",INDEX(DemoHistory[],$A794,MATCH($A$5,DemoHistory[#Headers],0)))</f>
        <v/>
      </c>
      <c r="D794" s="166" t="str">
        <f>IF($A794&gt;MIN($A$10,$A$2),"",IF(AND($A$12,$A$6=1,B794&lt;$A$7,$A$7&lt;=MAX(DemoHistory[Date])),$A$8,1))</f>
        <v/>
      </c>
      <c r="E794" s="166" t="str">
        <f t="shared" si="33"/>
        <v/>
      </c>
      <c r="F794" s="166" t="str">
        <f>IF($A794&gt;MIN($A$10,$A$2),"",IF($A794&lt;50,"n.a.",IF(COUNT(INDEX(StockDaily[Adjusted close],MAX(1,$A794-50+1)):E794)=50,AVERAGE(INDEX(StockDaily[Adjusted close],MAX(1,$A794-50+1)):E794),"n.a.")))</f>
        <v/>
      </c>
      <c r="G794" s="166" t="str">
        <f>IF($A794&gt;MIN($A$10,$A$2),"",IF($A794&lt;200,"n.a.",IF(COUNT(INDEX(StockDaily[Adjusted close],MAX(1,$A794-200+1)):E794)=200,AVERAGE(INDEX(StockDaily[Adjusted close],MAX(1,$A794-200+1)):E794),"n.a.")))</f>
        <v/>
      </c>
      <c r="H794" s="136" t="str">
        <f>IF($A794&gt;MIN($A$10,$A$2),"",IF($A$5="","Choose stock",IF(NOT($A$12),"Check split rule",IF(NOT(ISNUMBER(B794)),"Invalid date",IF(OR(B794&lt;=0,B794&lt;&gt;INT(B794)),"Invalid date",IF(COUNTIFS(DemoHistory[Date],B794)&lt;&gt;1,"Duplicate date",IF(AND($A794&gt;1,B794&lt;=B793),"Dates out of order",IF(NOT(ISNUMBER(C794)),"Missing price",IF(C794&lt;=0,"Nonpositive price","OK")))))))))</f>
        <v/>
      </c>
      <c r="I794" s="136"/>
      <c r="J794" s="136"/>
      <c r="K794" s="136"/>
      <c r="L794" s="136"/>
      <c r="M794" s="136"/>
      <c r="N794" s="136" t="e">
        <f t="shared" si="34"/>
        <v>#N/A</v>
      </c>
      <c r="O794" s="136" t="e">
        <f t="shared" si="35"/>
        <v>#N/A</v>
      </c>
    </row>
    <row r="795" spans="1:15" ht="22.05" customHeight="1" x14ac:dyDescent="0.3">
      <c r="A795" s="136">
        <v>751</v>
      </c>
      <c r="B795" s="165" t="str">
        <f>IF($A795&gt;MIN($A$10,$A$2),"",INDEX(DemoHistory[Date],$A795))</f>
        <v/>
      </c>
      <c r="C795" s="166" t="str">
        <f>IF(OR($A795&gt;MIN($A$10,$A$2),$A$5=""),"",INDEX(DemoHistory[],$A795,MATCH($A$5,DemoHistory[#Headers],0)))</f>
        <v/>
      </c>
      <c r="D795" s="166" t="str">
        <f>IF($A795&gt;MIN($A$10,$A$2),"",IF(AND($A$12,$A$6=1,B795&lt;$A$7,$A$7&lt;=MAX(DemoHistory[Date])),$A$8,1))</f>
        <v/>
      </c>
      <c r="E795" s="166" t="str">
        <f t="shared" si="33"/>
        <v/>
      </c>
      <c r="F795" s="166" t="str">
        <f>IF($A795&gt;MIN($A$10,$A$2),"",IF($A795&lt;50,"n.a.",IF(COUNT(INDEX(StockDaily[Adjusted close],MAX(1,$A795-50+1)):E795)=50,AVERAGE(INDEX(StockDaily[Adjusted close],MAX(1,$A795-50+1)):E795),"n.a.")))</f>
        <v/>
      </c>
      <c r="G795" s="166" t="str">
        <f>IF($A795&gt;MIN($A$10,$A$2),"",IF($A795&lt;200,"n.a.",IF(COUNT(INDEX(StockDaily[Adjusted close],MAX(1,$A795-200+1)):E795)=200,AVERAGE(INDEX(StockDaily[Adjusted close],MAX(1,$A795-200+1)):E795),"n.a.")))</f>
        <v/>
      </c>
      <c r="H795" s="136" t="str">
        <f>IF($A795&gt;MIN($A$10,$A$2),"",IF($A$5="","Choose stock",IF(NOT($A$12),"Check split rule",IF(NOT(ISNUMBER(B795)),"Invalid date",IF(OR(B795&lt;=0,B795&lt;&gt;INT(B795)),"Invalid date",IF(COUNTIFS(DemoHistory[Date],B795)&lt;&gt;1,"Duplicate date",IF(AND($A795&gt;1,B795&lt;=B794),"Dates out of order",IF(NOT(ISNUMBER(C795)),"Missing price",IF(C795&lt;=0,"Nonpositive price","OK")))))))))</f>
        <v/>
      </c>
      <c r="I795" s="136"/>
      <c r="J795" s="136"/>
      <c r="K795" s="136"/>
      <c r="L795" s="136"/>
      <c r="M795" s="136"/>
      <c r="N795" s="136" t="e">
        <f t="shared" si="34"/>
        <v>#N/A</v>
      </c>
      <c r="O795" s="136" t="e">
        <f t="shared" si="35"/>
        <v>#N/A</v>
      </c>
    </row>
    <row r="796" spans="1:15" ht="22.05" customHeight="1" x14ac:dyDescent="0.3">
      <c r="A796" s="136">
        <v>752</v>
      </c>
      <c r="B796" s="165" t="str">
        <f>IF($A796&gt;MIN($A$10,$A$2),"",INDEX(DemoHistory[Date],$A796))</f>
        <v/>
      </c>
      <c r="C796" s="166" t="str">
        <f>IF(OR($A796&gt;MIN($A$10,$A$2),$A$5=""),"",INDEX(DemoHistory[],$A796,MATCH($A$5,DemoHistory[#Headers],0)))</f>
        <v/>
      </c>
      <c r="D796" s="166" t="str">
        <f>IF($A796&gt;MIN($A$10,$A$2),"",IF(AND($A$12,$A$6=1,B796&lt;$A$7,$A$7&lt;=MAX(DemoHistory[Date])),$A$8,1))</f>
        <v/>
      </c>
      <c r="E796" s="166" t="str">
        <f t="shared" si="33"/>
        <v/>
      </c>
      <c r="F796" s="166" t="str">
        <f>IF($A796&gt;MIN($A$10,$A$2),"",IF($A796&lt;50,"n.a.",IF(COUNT(INDEX(StockDaily[Adjusted close],MAX(1,$A796-50+1)):E796)=50,AVERAGE(INDEX(StockDaily[Adjusted close],MAX(1,$A796-50+1)):E796),"n.a.")))</f>
        <v/>
      </c>
      <c r="G796" s="166" t="str">
        <f>IF($A796&gt;MIN($A$10,$A$2),"",IF($A796&lt;200,"n.a.",IF(COUNT(INDEX(StockDaily[Adjusted close],MAX(1,$A796-200+1)):E796)=200,AVERAGE(INDEX(StockDaily[Adjusted close],MAX(1,$A796-200+1)):E796),"n.a.")))</f>
        <v/>
      </c>
      <c r="H796" s="136" t="str">
        <f>IF($A796&gt;MIN($A$10,$A$2),"",IF($A$5="","Choose stock",IF(NOT($A$12),"Check split rule",IF(NOT(ISNUMBER(B796)),"Invalid date",IF(OR(B796&lt;=0,B796&lt;&gt;INT(B796)),"Invalid date",IF(COUNTIFS(DemoHistory[Date],B796)&lt;&gt;1,"Duplicate date",IF(AND($A796&gt;1,B796&lt;=B795),"Dates out of order",IF(NOT(ISNUMBER(C796)),"Missing price",IF(C796&lt;=0,"Nonpositive price","OK")))))))))</f>
        <v/>
      </c>
      <c r="I796" s="136"/>
      <c r="J796" s="136"/>
      <c r="K796" s="136"/>
      <c r="L796" s="136"/>
      <c r="M796" s="136"/>
      <c r="N796" s="136" t="e">
        <f t="shared" si="34"/>
        <v>#N/A</v>
      </c>
      <c r="O796" s="136" t="e">
        <f t="shared" si="35"/>
        <v>#N/A</v>
      </c>
    </row>
    <row r="797" spans="1:15" ht="22.05" customHeight="1" x14ac:dyDescent="0.3">
      <c r="A797" s="136">
        <v>753</v>
      </c>
      <c r="B797" s="165" t="str">
        <f>IF($A797&gt;MIN($A$10,$A$2),"",INDEX(DemoHistory[Date],$A797))</f>
        <v/>
      </c>
      <c r="C797" s="166" t="str">
        <f>IF(OR($A797&gt;MIN($A$10,$A$2),$A$5=""),"",INDEX(DemoHistory[],$A797,MATCH($A$5,DemoHistory[#Headers],0)))</f>
        <v/>
      </c>
      <c r="D797" s="166" t="str">
        <f>IF($A797&gt;MIN($A$10,$A$2),"",IF(AND($A$12,$A$6=1,B797&lt;$A$7,$A$7&lt;=MAX(DemoHistory[Date])),$A$8,1))</f>
        <v/>
      </c>
      <c r="E797" s="166" t="str">
        <f t="shared" si="33"/>
        <v/>
      </c>
      <c r="F797" s="166" t="str">
        <f>IF($A797&gt;MIN($A$10,$A$2),"",IF($A797&lt;50,"n.a.",IF(COUNT(INDEX(StockDaily[Adjusted close],MAX(1,$A797-50+1)):E797)=50,AVERAGE(INDEX(StockDaily[Adjusted close],MAX(1,$A797-50+1)):E797),"n.a.")))</f>
        <v/>
      </c>
      <c r="G797" s="166" t="str">
        <f>IF($A797&gt;MIN($A$10,$A$2),"",IF($A797&lt;200,"n.a.",IF(COUNT(INDEX(StockDaily[Adjusted close],MAX(1,$A797-200+1)):E797)=200,AVERAGE(INDEX(StockDaily[Adjusted close],MAX(1,$A797-200+1)):E797),"n.a.")))</f>
        <v/>
      </c>
      <c r="H797" s="136" t="str">
        <f>IF($A797&gt;MIN($A$10,$A$2),"",IF($A$5="","Choose stock",IF(NOT($A$12),"Check split rule",IF(NOT(ISNUMBER(B797)),"Invalid date",IF(OR(B797&lt;=0,B797&lt;&gt;INT(B797)),"Invalid date",IF(COUNTIFS(DemoHistory[Date],B797)&lt;&gt;1,"Duplicate date",IF(AND($A797&gt;1,B797&lt;=B796),"Dates out of order",IF(NOT(ISNUMBER(C797)),"Missing price",IF(C797&lt;=0,"Nonpositive price","OK")))))))))</f>
        <v/>
      </c>
      <c r="I797" s="136"/>
      <c r="J797" s="136"/>
      <c r="K797" s="136"/>
      <c r="L797" s="136"/>
      <c r="M797" s="136"/>
      <c r="N797" s="136" t="e">
        <f t="shared" si="34"/>
        <v>#N/A</v>
      </c>
      <c r="O797" s="136" t="e">
        <f t="shared" si="35"/>
        <v>#N/A</v>
      </c>
    </row>
    <row r="798" spans="1:15" ht="22.05" customHeight="1" x14ac:dyDescent="0.3">
      <c r="A798" s="136">
        <v>754</v>
      </c>
      <c r="B798" s="165" t="str">
        <f>IF($A798&gt;MIN($A$10,$A$2),"",INDEX(DemoHistory[Date],$A798))</f>
        <v/>
      </c>
      <c r="C798" s="166" t="str">
        <f>IF(OR($A798&gt;MIN($A$10,$A$2),$A$5=""),"",INDEX(DemoHistory[],$A798,MATCH($A$5,DemoHistory[#Headers],0)))</f>
        <v/>
      </c>
      <c r="D798" s="166" t="str">
        <f>IF($A798&gt;MIN($A$10,$A$2),"",IF(AND($A$12,$A$6=1,B798&lt;$A$7,$A$7&lt;=MAX(DemoHistory[Date])),$A$8,1))</f>
        <v/>
      </c>
      <c r="E798" s="166" t="str">
        <f t="shared" si="33"/>
        <v/>
      </c>
      <c r="F798" s="166" t="str">
        <f>IF($A798&gt;MIN($A$10,$A$2),"",IF($A798&lt;50,"n.a.",IF(COUNT(INDEX(StockDaily[Adjusted close],MAX(1,$A798-50+1)):E798)=50,AVERAGE(INDEX(StockDaily[Adjusted close],MAX(1,$A798-50+1)):E798),"n.a.")))</f>
        <v/>
      </c>
      <c r="G798" s="166" t="str">
        <f>IF($A798&gt;MIN($A$10,$A$2),"",IF($A798&lt;200,"n.a.",IF(COUNT(INDEX(StockDaily[Adjusted close],MAX(1,$A798-200+1)):E798)=200,AVERAGE(INDEX(StockDaily[Adjusted close],MAX(1,$A798-200+1)):E798),"n.a.")))</f>
        <v/>
      </c>
      <c r="H798" s="136" t="str">
        <f>IF($A798&gt;MIN($A$10,$A$2),"",IF($A$5="","Choose stock",IF(NOT($A$12),"Check split rule",IF(NOT(ISNUMBER(B798)),"Invalid date",IF(OR(B798&lt;=0,B798&lt;&gt;INT(B798)),"Invalid date",IF(COUNTIFS(DemoHistory[Date],B798)&lt;&gt;1,"Duplicate date",IF(AND($A798&gt;1,B798&lt;=B797),"Dates out of order",IF(NOT(ISNUMBER(C798)),"Missing price",IF(C798&lt;=0,"Nonpositive price","OK")))))))))</f>
        <v/>
      </c>
      <c r="I798" s="136"/>
      <c r="J798" s="136"/>
      <c r="K798" s="136"/>
      <c r="L798" s="136"/>
      <c r="M798" s="136"/>
      <c r="N798" s="136" t="e">
        <f t="shared" si="34"/>
        <v>#N/A</v>
      </c>
      <c r="O798" s="136" t="e">
        <f t="shared" si="35"/>
        <v>#N/A</v>
      </c>
    </row>
    <row r="799" spans="1:15" ht="22.05" customHeight="1" x14ac:dyDescent="0.3">
      <c r="A799" s="136">
        <v>755</v>
      </c>
      <c r="B799" s="165" t="str">
        <f>IF($A799&gt;MIN($A$10,$A$2),"",INDEX(DemoHistory[Date],$A799))</f>
        <v/>
      </c>
      <c r="C799" s="166" t="str">
        <f>IF(OR($A799&gt;MIN($A$10,$A$2),$A$5=""),"",INDEX(DemoHistory[],$A799,MATCH($A$5,DemoHistory[#Headers],0)))</f>
        <v/>
      </c>
      <c r="D799" s="166" t="str">
        <f>IF($A799&gt;MIN($A$10,$A$2),"",IF(AND($A$12,$A$6=1,B799&lt;$A$7,$A$7&lt;=MAX(DemoHistory[Date])),$A$8,1))</f>
        <v/>
      </c>
      <c r="E799" s="166" t="str">
        <f t="shared" si="33"/>
        <v/>
      </c>
      <c r="F799" s="166" t="str">
        <f>IF($A799&gt;MIN($A$10,$A$2),"",IF($A799&lt;50,"n.a.",IF(COUNT(INDEX(StockDaily[Adjusted close],MAX(1,$A799-50+1)):E799)=50,AVERAGE(INDEX(StockDaily[Adjusted close],MAX(1,$A799-50+1)):E799),"n.a.")))</f>
        <v/>
      </c>
      <c r="G799" s="166" t="str">
        <f>IF($A799&gt;MIN($A$10,$A$2),"",IF($A799&lt;200,"n.a.",IF(COUNT(INDEX(StockDaily[Adjusted close],MAX(1,$A799-200+1)):E799)=200,AVERAGE(INDEX(StockDaily[Adjusted close],MAX(1,$A799-200+1)):E799),"n.a.")))</f>
        <v/>
      </c>
      <c r="H799" s="136" t="str">
        <f>IF($A799&gt;MIN($A$10,$A$2),"",IF($A$5="","Choose stock",IF(NOT($A$12),"Check split rule",IF(NOT(ISNUMBER(B799)),"Invalid date",IF(OR(B799&lt;=0,B799&lt;&gt;INT(B799)),"Invalid date",IF(COUNTIFS(DemoHistory[Date],B799)&lt;&gt;1,"Duplicate date",IF(AND($A799&gt;1,B799&lt;=B798),"Dates out of order",IF(NOT(ISNUMBER(C799)),"Missing price",IF(C799&lt;=0,"Nonpositive price","OK")))))))))</f>
        <v/>
      </c>
      <c r="I799" s="136"/>
      <c r="J799" s="136"/>
      <c r="K799" s="136"/>
      <c r="L799" s="136"/>
      <c r="M799" s="136"/>
      <c r="N799" s="136" t="e">
        <f t="shared" si="34"/>
        <v>#N/A</v>
      </c>
      <c r="O799" s="136" t="e">
        <f t="shared" si="35"/>
        <v>#N/A</v>
      </c>
    </row>
    <row r="800" spans="1:15" ht="22.05" customHeight="1" x14ac:dyDescent="0.3">
      <c r="A800" s="136">
        <v>756</v>
      </c>
      <c r="B800" s="165" t="str">
        <f>IF($A800&gt;MIN($A$10,$A$2),"",INDEX(DemoHistory[Date],$A800))</f>
        <v/>
      </c>
      <c r="C800" s="166" t="str">
        <f>IF(OR($A800&gt;MIN($A$10,$A$2),$A$5=""),"",INDEX(DemoHistory[],$A800,MATCH($A$5,DemoHistory[#Headers],0)))</f>
        <v/>
      </c>
      <c r="D800" s="166" t="str">
        <f>IF($A800&gt;MIN($A$10,$A$2),"",IF(AND($A$12,$A$6=1,B800&lt;$A$7,$A$7&lt;=MAX(DemoHistory[Date])),$A$8,1))</f>
        <v/>
      </c>
      <c r="E800" s="166" t="str">
        <f t="shared" si="33"/>
        <v/>
      </c>
      <c r="F800" s="166" t="str">
        <f>IF($A800&gt;MIN($A$10,$A$2),"",IF($A800&lt;50,"n.a.",IF(COUNT(INDEX(StockDaily[Adjusted close],MAX(1,$A800-50+1)):E800)=50,AVERAGE(INDEX(StockDaily[Adjusted close],MAX(1,$A800-50+1)):E800),"n.a.")))</f>
        <v/>
      </c>
      <c r="G800" s="166" t="str">
        <f>IF($A800&gt;MIN($A$10,$A$2),"",IF($A800&lt;200,"n.a.",IF(COUNT(INDEX(StockDaily[Adjusted close],MAX(1,$A800-200+1)):E800)=200,AVERAGE(INDEX(StockDaily[Adjusted close],MAX(1,$A800-200+1)):E800),"n.a.")))</f>
        <v/>
      </c>
      <c r="H800" s="136" t="str">
        <f>IF($A800&gt;MIN($A$10,$A$2),"",IF($A$5="","Choose stock",IF(NOT($A$12),"Check split rule",IF(NOT(ISNUMBER(B800)),"Invalid date",IF(OR(B800&lt;=0,B800&lt;&gt;INT(B800)),"Invalid date",IF(COUNTIFS(DemoHistory[Date],B800)&lt;&gt;1,"Duplicate date",IF(AND($A800&gt;1,B800&lt;=B799),"Dates out of order",IF(NOT(ISNUMBER(C800)),"Missing price",IF(C800&lt;=0,"Nonpositive price","OK")))))))))</f>
        <v/>
      </c>
      <c r="I800" s="136"/>
      <c r="J800" s="136"/>
      <c r="K800" s="136"/>
      <c r="L800" s="136"/>
      <c r="M800" s="136"/>
      <c r="N800" s="136" t="e">
        <f t="shared" si="34"/>
        <v>#N/A</v>
      </c>
      <c r="O800" s="136" t="e">
        <f t="shared" si="35"/>
        <v>#N/A</v>
      </c>
    </row>
    <row r="801" spans="1:15" ht="22.05" customHeight="1" x14ac:dyDescent="0.3">
      <c r="A801" s="136">
        <v>757</v>
      </c>
      <c r="B801" s="165" t="str">
        <f>IF($A801&gt;MIN($A$10,$A$2),"",INDEX(DemoHistory[Date],$A801))</f>
        <v/>
      </c>
      <c r="C801" s="166" t="str">
        <f>IF(OR($A801&gt;MIN($A$10,$A$2),$A$5=""),"",INDEX(DemoHistory[],$A801,MATCH($A$5,DemoHistory[#Headers],0)))</f>
        <v/>
      </c>
      <c r="D801" s="166" t="str">
        <f>IF($A801&gt;MIN($A$10,$A$2),"",IF(AND($A$12,$A$6=1,B801&lt;$A$7,$A$7&lt;=MAX(DemoHistory[Date])),$A$8,1))</f>
        <v/>
      </c>
      <c r="E801" s="166" t="str">
        <f t="shared" si="33"/>
        <v/>
      </c>
      <c r="F801" s="166" t="str">
        <f>IF($A801&gt;MIN($A$10,$A$2),"",IF($A801&lt;50,"n.a.",IF(COUNT(INDEX(StockDaily[Adjusted close],MAX(1,$A801-50+1)):E801)=50,AVERAGE(INDEX(StockDaily[Adjusted close],MAX(1,$A801-50+1)):E801),"n.a.")))</f>
        <v/>
      </c>
      <c r="G801" s="166" t="str">
        <f>IF($A801&gt;MIN($A$10,$A$2),"",IF($A801&lt;200,"n.a.",IF(COUNT(INDEX(StockDaily[Adjusted close],MAX(1,$A801-200+1)):E801)=200,AVERAGE(INDEX(StockDaily[Adjusted close],MAX(1,$A801-200+1)):E801),"n.a.")))</f>
        <v/>
      </c>
      <c r="H801" s="136" t="str">
        <f>IF($A801&gt;MIN($A$10,$A$2),"",IF($A$5="","Choose stock",IF(NOT($A$12),"Check split rule",IF(NOT(ISNUMBER(B801)),"Invalid date",IF(OR(B801&lt;=0,B801&lt;&gt;INT(B801)),"Invalid date",IF(COUNTIFS(DemoHistory[Date],B801)&lt;&gt;1,"Duplicate date",IF(AND($A801&gt;1,B801&lt;=B800),"Dates out of order",IF(NOT(ISNUMBER(C801)),"Missing price",IF(C801&lt;=0,"Nonpositive price","OK")))))))))</f>
        <v/>
      </c>
      <c r="I801" s="136"/>
      <c r="J801" s="136"/>
      <c r="K801" s="136"/>
      <c r="L801" s="136"/>
      <c r="M801" s="136"/>
      <c r="N801" s="136" t="e">
        <f t="shared" si="34"/>
        <v>#N/A</v>
      </c>
      <c r="O801" s="136" t="e">
        <f t="shared" si="35"/>
        <v>#N/A</v>
      </c>
    </row>
    <row r="802" spans="1:15" ht="22.05" customHeight="1" x14ac:dyDescent="0.3">
      <c r="A802" s="136">
        <v>758</v>
      </c>
      <c r="B802" s="165" t="str">
        <f>IF($A802&gt;MIN($A$10,$A$2),"",INDEX(DemoHistory[Date],$A802))</f>
        <v/>
      </c>
      <c r="C802" s="166" t="str">
        <f>IF(OR($A802&gt;MIN($A$10,$A$2),$A$5=""),"",INDEX(DemoHistory[],$A802,MATCH($A$5,DemoHistory[#Headers],0)))</f>
        <v/>
      </c>
      <c r="D802" s="166" t="str">
        <f>IF($A802&gt;MIN($A$10,$A$2),"",IF(AND($A$12,$A$6=1,B802&lt;$A$7,$A$7&lt;=MAX(DemoHistory[Date])),$A$8,1))</f>
        <v/>
      </c>
      <c r="E802" s="166" t="str">
        <f t="shared" si="33"/>
        <v/>
      </c>
      <c r="F802" s="166" t="str">
        <f>IF($A802&gt;MIN($A$10,$A$2),"",IF($A802&lt;50,"n.a.",IF(COUNT(INDEX(StockDaily[Adjusted close],MAX(1,$A802-50+1)):E802)=50,AVERAGE(INDEX(StockDaily[Adjusted close],MAX(1,$A802-50+1)):E802),"n.a.")))</f>
        <v/>
      </c>
      <c r="G802" s="166" t="str">
        <f>IF($A802&gt;MIN($A$10,$A$2),"",IF($A802&lt;200,"n.a.",IF(COUNT(INDEX(StockDaily[Adjusted close],MAX(1,$A802-200+1)):E802)=200,AVERAGE(INDEX(StockDaily[Adjusted close],MAX(1,$A802-200+1)):E802),"n.a.")))</f>
        <v/>
      </c>
      <c r="H802" s="136" t="str">
        <f>IF($A802&gt;MIN($A$10,$A$2),"",IF($A$5="","Choose stock",IF(NOT($A$12),"Check split rule",IF(NOT(ISNUMBER(B802)),"Invalid date",IF(OR(B802&lt;=0,B802&lt;&gt;INT(B802)),"Invalid date",IF(COUNTIFS(DemoHistory[Date],B802)&lt;&gt;1,"Duplicate date",IF(AND($A802&gt;1,B802&lt;=B801),"Dates out of order",IF(NOT(ISNUMBER(C802)),"Missing price",IF(C802&lt;=0,"Nonpositive price","OK")))))))))</f>
        <v/>
      </c>
      <c r="I802" s="136"/>
      <c r="J802" s="136"/>
      <c r="K802" s="136"/>
      <c r="L802" s="136"/>
      <c r="M802" s="136"/>
      <c r="N802" s="136" t="e">
        <f t="shared" si="34"/>
        <v>#N/A</v>
      </c>
      <c r="O802" s="136" t="e">
        <f t="shared" si="35"/>
        <v>#N/A</v>
      </c>
    </row>
    <row r="803" spans="1:15" ht="22.05" customHeight="1" x14ac:dyDescent="0.3">
      <c r="A803" s="136">
        <v>759</v>
      </c>
      <c r="B803" s="165" t="str">
        <f>IF($A803&gt;MIN($A$10,$A$2),"",INDEX(DemoHistory[Date],$A803))</f>
        <v/>
      </c>
      <c r="C803" s="166" t="str">
        <f>IF(OR($A803&gt;MIN($A$10,$A$2),$A$5=""),"",INDEX(DemoHistory[],$A803,MATCH($A$5,DemoHistory[#Headers],0)))</f>
        <v/>
      </c>
      <c r="D803" s="166" t="str">
        <f>IF($A803&gt;MIN($A$10,$A$2),"",IF(AND($A$12,$A$6=1,B803&lt;$A$7,$A$7&lt;=MAX(DemoHistory[Date])),$A$8,1))</f>
        <v/>
      </c>
      <c r="E803" s="166" t="str">
        <f t="shared" si="33"/>
        <v/>
      </c>
      <c r="F803" s="166" t="str">
        <f>IF($A803&gt;MIN($A$10,$A$2),"",IF($A803&lt;50,"n.a.",IF(COUNT(INDEX(StockDaily[Adjusted close],MAX(1,$A803-50+1)):E803)=50,AVERAGE(INDEX(StockDaily[Adjusted close],MAX(1,$A803-50+1)):E803),"n.a.")))</f>
        <v/>
      </c>
      <c r="G803" s="166" t="str">
        <f>IF($A803&gt;MIN($A$10,$A$2),"",IF($A803&lt;200,"n.a.",IF(COUNT(INDEX(StockDaily[Adjusted close],MAX(1,$A803-200+1)):E803)=200,AVERAGE(INDEX(StockDaily[Adjusted close],MAX(1,$A803-200+1)):E803),"n.a.")))</f>
        <v/>
      </c>
      <c r="H803" s="136" t="str">
        <f>IF($A803&gt;MIN($A$10,$A$2),"",IF($A$5="","Choose stock",IF(NOT($A$12),"Check split rule",IF(NOT(ISNUMBER(B803)),"Invalid date",IF(OR(B803&lt;=0,B803&lt;&gt;INT(B803)),"Invalid date",IF(COUNTIFS(DemoHistory[Date],B803)&lt;&gt;1,"Duplicate date",IF(AND($A803&gt;1,B803&lt;=B802),"Dates out of order",IF(NOT(ISNUMBER(C803)),"Missing price",IF(C803&lt;=0,"Nonpositive price","OK")))))))))</f>
        <v/>
      </c>
      <c r="I803" s="136"/>
      <c r="J803" s="136"/>
      <c r="K803" s="136"/>
      <c r="L803" s="136"/>
      <c r="M803" s="136"/>
      <c r="N803" s="136" t="e">
        <f t="shared" si="34"/>
        <v>#N/A</v>
      </c>
      <c r="O803" s="136" t="e">
        <f t="shared" si="35"/>
        <v>#N/A</v>
      </c>
    </row>
    <row r="804" spans="1:15" ht="22.05" customHeight="1" x14ac:dyDescent="0.3">
      <c r="A804" s="136">
        <v>760</v>
      </c>
      <c r="B804" s="165" t="str">
        <f>IF($A804&gt;MIN($A$10,$A$2),"",INDEX(DemoHistory[Date],$A804))</f>
        <v/>
      </c>
      <c r="C804" s="166" t="str">
        <f>IF(OR($A804&gt;MIN($A$10,$A$2),$A$5=""),"",INDEX(DemoHistory[],$A804,MATCH($A$5,DemoHistory[#Headers],0)))</f>
        <v/>
      </c>
      <c r="D804" s="166" t="str">
        <f>IF($A804&gt;MIN($A$10,$A$2),"",IF(AND($A$12,$A$6=1,B804&lt;$A$7,$A$7&lt;=MAX(DemoHistory[Date])),$A$8,1))</f>
        <v/>
      </c>
      <c r="E804" s="166" t="str">
        <f t="shared" si="33"/>
        <v/>
      </c>
      <c r="F804" s="166" t="str">
        <f>IF($A804&gt;MIN($A$10,$A$2),"",IF($A804&lt;50,"n.a.",IF(COUNT(INDEX(StockDaily[Adjusted close],MAX(1,$A804-50+1)):E804)=50,AVERAGE(INDEX(StockDaily[Adjusted close],MAX(1,$A804-50+1)):E804),"n.a.")))</f>
        <v/>
      </c>
      <c r="G804" s="166" t="str">
        <f>IF($A804&gt;MIN($A$10,$A$2),"",IF($A804&lt;200,"n.a.",IF(COUNT(INDEX(StockDaily[Adjusted close],MAX(1,$A804-200+1)):E804)=200,AVERAGE(INDEX(StockDaily[Adjusted close],MAX(1,$A804-200+1)):E804),"n.a.")))</f>
        <v/>
      </c>
      <c r="H804" s="136" t="str">
        <f>IF($A804&gt;MIN($A$10,$A$2),"",IF($A$5="","Choose stock",IF(NOT($A$12),"Check split rule",IF(NOT(ISNUMBER(B804)),"Invalid date",IF(OR(B804&lt;=0,B804&lt;&gt;INT(B804)),"Invalid date",IF(COUNTIFS(DemoHistory[Date],B804)&lt;&gt;1,"Duplicate date",IF(AND($A804&gt;1,B804&lt;=B803),"Dates out of order",IF(NOT(ISNUMBER(C804)),"Missing price",IF(C804&lt;=0,"Nonpositive price","OK")))))))))</f>
        <v/>
      </c>
      <c r="I804" s="136"/>
      <c r="J804" s="136"/>
      <c r="K804" s="136"/>
      <c r="L804" s="136"/>
      <c r="M804" s="136"/>
      <c r="N804" s="136" t="e">
        <f t="shared" si="34"/>
        <v>#N/A</v>
      </c>
      <c r="O804" s="136" t="e">
        <f t="shared" si="35"/>
        <v>#N/A</v>
      </c>
    </row>
    <row r="805" spans="1:15" ht="22.05" customHeight="1" x14ac:dyDescent="0.3">
      <c r="A805" s="136">
        <v>761</v>
      </c>
      <c r="B805" s="165" t="str">
        <f>IF($A805&gt;MIN($A$10,$A$2),"",INDEX(DemoHistory[Date],$A805))</f>
        <v/>
      </c>
      <c r="C805" s="166" t="str">
        <f>IF(OR($A805&gt;MIN($A$10,$A$2),$A$5=""),"",INDEX(DemoHistory[],$A805,MATCH($A$5,DemoHistory[#Headers],0)))</f>
        <v/>
      </c>
      <c r="D805" s="166" t="str">
        <f>IF($A805&gt;MIN($A$10,$A$2),"",IF(AND($A$12,$A$6=1,B805&lt;$A$7,$A$7&lt;=MAX(DemoHistory[Date])),$A$8,1))</f>
        <v/>
      </c>
      <c r="E805" s="166" t="str">
        <f t="shared" si="33"/>
        <v/>
      </c>
      <c r="F805" s="166" t="str">
        <f>IF($A805&gt;MIN($A$10,$A$2),"",IF($A805&lt;50,"n.a.",IF(COUNT(INDEX(StockDaily[Adjusted close],MAX(1,$A805-50+1)):E805)=50,AVERAGE(INDEX(StockDaily[Adjusted close],MAX(1,$A805-50+1)):E805),"n.a.")))</f>
        <v/>
      </c>
      <c r="G805" s="166" t="str">
        <f>IF($A805&gt;MIN($A$10,$A$2),"",IF($A805&lt;200,"n.a.",IF(COUNT(INDEX(StockDaily[Adjusted close],MAX(1,$A805-200+1)):E805)=200,AVERAGE(INDEX(StockDaily[Adjusted close],MAX(1,$A805-200+1)):E805),"n.a.")))</f>
        <v/>
      </c>
      <c r="H805" s="136" t="str">
        <f>IF($A805&gt;MIN($A$10,$A$2),"",IF($A$5="","Choose stock",IF(NOT($A$12),"Check split rule",IF(NOT(ISNUMBER(B805)),"Invalid date",IF(OR(B805&lt;=0,B805&lt;&gt;INT(B805)),"Invalid date",IF(COUNTIFS(DemoHistory[Date],B805)&lt;&gt;1,"Duplicate date",IF(AND($A805&gt;1,B805&lt;=B804),"Dates out of order",IF(NOT(ISNUMBER(C805)),"Missing price",IF(C805&lt;=0,"Nonpositive price","OK")))))))))</f>
        <v/>
      </c>
      <c r="I805" s="136"/>
      <c r="J805" s="136"/>
      <c r="K805" s="136"/>
      <c r="L805" s="136"/>
      <c r="M805" s="136"/>
      <c r="N805" s="136" t="e">
        <f t="shared" si="34"/>
        <v>#N/A</v>
      </c>
      <c r="O805" s="136" t="e">
        <f t="shared" si="35"/>
        <v>#N/A</v>
      </c>
    </row>
    <row r="806" spans="1:15" ht="22.05" customHeight="1" x14ac:dyDescent="0.3">
      <c r="A806" s="136">
        <v>762</v>
      </c>
      <c r="B806" s="165" t="str">
        <f>IF($A806&gt;MIN($A$10,$A$2),"",INDEX(DemoHistory[Date],$A806))</f>
        <v/>
      </c>
      <c r="C806" s="166" t="str">
        <f>IF(OR($A806&gt;MIN($A$10,$A$2),$A$5=""),"",INDEX(DemoHistory[],$A806,MATCH($A$5,DemoHistory[#Headers],0)))</f>
        <v/>
      </c>
      <c r="D806" s="166" t="str">
        <f>IF($A806&gt;MIN($A$10,$A$2),"",IF(AND($A$12,$A$6=1,B806&lt;$A$7,$A$7&lt;=MAX(DemoHistory[Date])),$A$8,1))</f>
        <v/>
      </c>
      <c r="E806" s="166" t="str">
        <f t="shared" si="33"/>
        <v/>
      </c>
      <c r="F806" s="166" t="str">
        <f>IF($A806&gt;MIN($A$10,$A$2),"",IF($A806&lt;50,"n.a.",IF(COUNT(INDEX(StockDaily[Adjusted close],MAX(1,$A806-50+1)):E806)=50,AVERAGE(INDEX(StockDaily[Adjusted close],MAX(1,$A806-50+1)):E806),"n.a.")))</f>
        <v/>
      </c>
      <c r="G806" s="166" t="str">
        <f>IF($A806&gt;MIN($A$10,$A$2),"",IF($A806&lt;200,"n.a.",IF(COUNT(INDEX(StockDaily[Adjusted close],MAX(1,$A806-200+1)):E806)=200,AVERAGE(INDEX(StockDaily[Adjusted close],MAX(1,$A806-200+1)):E806),"n.a.")))</f>
        <v/>
      </c>
      <c r="H806" s="136" t="str">
        <f>IF($A806&gt;MIN($A$10,$A$2),"",IF($A$5="","Choose stock",IF(NOT($A$12),"Check split rule",IF(NOT(ISNUMBER(B806)),"Invalid date",IF(OR(B806&lt;=0,B806&lt;&gt;INT(B806)),"Invalid date",IF(COUNTIFS(DemoHistory[Date],B806)&lt;&gt;1,"Duplicate date",IF(AND($A806&gt;1,B806&lt;=B805),"Dates out of order",IF(NOT(ISNUMBER(C806)),"Missing price",IF(C806&lt;=0,"Nonpositive price","OK")))))))))</f>
        <v/>
      </c>
      <c r="I806" s="136"/>
      <c r="J806" s="136"/>
      <c r="K806" s="136"/>
      <c r="L806" s="136"/>
      <c r="M806" s="136"/>
      <c r="N806" s="136" t="e">
        <f t="shared" si="34"/>
        <v>#N/A</v>
      </c>
      <c r="O806" s="136" t="e">
        <f t="shared" si="35"/>
        <v>#N/A</v>
      </c>
    </row>
    <row r="807" spans="1:15" ht="22.05" customHeight="1" x14ac:dyDescent="0.3">
      <c r="A807" s="136">
        <v>763</v>
      </c>
      <c r="B807" s="165" t="str">
        <f>IF($A807&gt;MIN($A$10,$A$2),"",INDEX(DemoHistory[Date],$A807))</f>
        <v/>
      </c>
      <c r="C807" s="166" t="str">
        <f>IF(OR($A807&gt;MIN($A$10,$A$2),$A$5=""),"",INDEX(DemoHistory[],$A807,MATCH($A$5,DemoHistory[#Headers],0)))</f>
        <v/>
      </c>
      <c r="D807" s="166" t="str">
        <f>IF($A807&gt;MIN($A$10,$A$2),"",IF(AND($A$12,$A$6=1,B807&lt;$A$7,$A$7&lt;=MAX(DemoHistory[Date])),$A$8,1))</f>
        <v/>
      </c>
      <c r="E807" s="166" t="str">
        <f t="shared" si="33"/>
        <v/>
      </c>
      <c r="F807" s="166" t="str">
        <f>IF($A807&gt;MIN($A$10,$A$2),"",IF($A807&lt;50,"n.a.",IF(COUNT(INDEX(StockDaily[Adjusted close],MAX(1,$A807-50+1)):E807)=50,AVERAGE(INDEX(StockDaily[Adjusted close],MAX(1,$A807-50+1)):E807),"n.a.")))</f>
        <v/>
      </c>
      <c r="G807" s="166" t="str">
        <f>IF($A807&gt;MIN($A$10,$A$2),"",IF($A807&lt;200,"n.a.",IF(COUNT(INDEX(StockDaily[Adjusted close],MAX(1,$A807-200+1)):E807)=200,AVERAGE(INDEX(StockDaily[Adjusted close],MAX(1,$A807-200+1)):E807),"n.a.")))</f>
        <v/>
      </c>
      <c r="H807" s="136" t="str">
        <f>IF($A807&gt;MIN($A$10,$A$2),"",IF($A$5="","Choose stock",IF(NOT($A$12),"Check split rule",IF(NOT(ISNUMBER(B807)),"Invalid date",IF(OR(B807&lt;=0,B807&lt;&gt;INT(B807)),"Invalid date",IF(COUNTIFS(DemoHistory[Date],B807)&lt;&gt;1,"Duplicate date",IF(AND($A807&gt;1,B807&lt;=B806),"Dates out of order",IF(NOT(ISNUMBER(C807)),"Missing price",IF(C807&lt;=0,"Nonpositive price","OK")))))))))</f>
        <v/>
      </c>
      <c r="I807" s="136"/>
      <c r="J807" s="136"/>
      <c r="K807" s="136"/>
      <c r="L807" s="136"/>
      <c r="M807" s="136"/>
      <c r="N807" s="136" t="e">
        <f t="shared" si="34"/>
        <v>#N/A</v>
      </c>
      <c r="O807" s="136" t="e">
        <f t="shared" si="35"/>
        <v>#N/A</v>
      </c>
    </row>
    <row r="808" spans="1:15" ht="22.05" customHeight="1" x14ac:dyDescent="0.3">
      <c r="A808" s="136">
        <v>764</v>
      </c>
      <c r="B808" s="165" t="str">
        <f>IF($A808&gt;MIN($A$10,$A$2),"",INDEX(DemoHistory[Date],$A808))</f>
        <v/>
      </c>
      <c r="C808" s="166" t="str">
        <f>IF(OR($A808&gt;MIN($A$10,$A$2),$A$5=""),"",INDEX(DemoHistory[],$A808,MATCH($A$5,DemoHistory[#Headers],0)))</f>
        <v/>
      </c>
      <c r="D808" s="166" t="str">
        <f>IF($A808&gt;MIN($A$10,$A$2),"",IF(AND($A$12,$A$6=1,B808&lt;$A$7,$A$7&lt;=MAX(DemoHistory[Date])),$A$8,1))</f>
        <v/>
      </c>
      <c r="E808" s="166" t="str">
        <f t="shared" si="33"/>
        <v/>
      </c>
      <c r="F808" s="166" t="str">
        <f>IF($A808&gt;MIN($A$10,$A$2),"",IF($A808&lt;50,"n.a.",IF(COUNT(INDEX(StockDaily[Adjusted close],MAX(1,$A808-50+1)):E808)=50,AVERAGE(INDEX(StockDaily[Adjusted close],MAX(1,$A808-50+1)):E808),"n.a.")))</f>
        <v/>
      </c>
      <c r="G808" s="166" t="str">
        <f>IF($A808&gt;MIN($A$10,$A$2),"",IF($A808&lt;200,"n.a.",IF(COUNT(INDEX(StockDaily[Adjusted close],MAX(1,$A808-200+1)):E808)=200,AVERAGE(INDEX(StockDaily[Adjusted close],MAX(1,$A808-200+1)):E808),"n.a.")))</f>
        <v/>
      </c>
      <c r="H808" s="136" t="str">
        <f>IF($A808&gt;MIN($A$10,$A$2),"",IF($A$5="","Choose stock",IF(NOT($A$12),"Check split rule",IF(NOT(ISNUMBER(B808)),"Invalid date",IF(OR(B808&lt;=0,B808&lt;&gt;INT(B808)),"Invalid date",IF(COUNTIFS(DemoHistory[Date],B808)&lt;&gt;1,"Duplicate date",IF(AND($A808&gt;1,B808&lt;=B807),"Dates out of order",IF(NOT(ISNUMBER(C808)),"Missing price",IF(C808&lt;=0,"Nonpositive price","OK")))))))))</f>
        <v/>
      </c>
      <c r="I808" s="136"/>
      <c r="J808" s="136"/>
      <c r="K808" s="136"/>
      <c r="L808" s="136"/>
      <c r="M808" s="136"/>
      <c r="N808" s="136" t="e">
        <f t="shared" si="34"/>
        <v>#N/A</v>
      </c>
      <c r="O808" s="136" t="e">
        <f t="shared" si="35"/>
        <v>#N/A</v>
      </c>
    </row>
    <row r="809" spans="1:15" ht="22.05" customHeight="1" x14ac:dyDescent="0.3">
      <c r="A809" s="136">
        <v>765</v>
      </c>
      <c r="B809" s="165" t="str">
        <f>IF($A809&gt;MIN($A$10,$A$2),"",INDEX(DemoHistory[Date],$A809))</f>
        <v/>
      </c>
      <c r="C809" s="166" t="str">
        <f>IF(OR($A809&gt;MIN($A$10,$A$2),$A$5=""),"",INDEX(DemoHistory[],$A809,MATCH($A$5,DemoHistory[#Headers],0)))</f>
        <v/>
      </c>
      <c r="D809" s="166" t="str">
        <f>IF($A809&gt;MIN($A$10,$A$2),"",IF(AND($A$12,$A$6=1,B809&lt;$A$7,$A$7&lt;=MAX(DemoHistory[Date])),$A$8,1))</f>
        <v/>
      </c>
      <c r="E809" s="166" t="str">
        <f t="shared" si="33"/>
        <v/>
      </c>
      <c r="F809" s="166" t="str">
        <f>IF($A809&gt;MIN($A$10,$A$2),"",IF($A809&lt;50,"n.a.",IF(COUNT(INDEX(StockDaily[Adjusted close],MAX(1,$A809-50+1)):E809)=50,AVERAGE(INDEX(StockDaily[Adjusted close],MAX(1,$A809-50+1)):E809),"n.a.")))</f>
        <v/>
      </c>
      <c r="G809" s="166" t="str">
        <f>IF($A809&gt;MIN($A$10,$A$2),"",IF($A809&lt;200,"n.a.",IF(COUNT(INDEX(StockDaily[Adjusted close],MAX(1,$A809-200+1)):E809)=200,AVERAGE(INDEX(StockDaily[Adjusted close],MAX(1,$A809-200+1)):E809),"n.a.")))</f>
        <v/>
      </c>
      <c r="H809" s="136" t="str">
        <f>IF($A809&gt;MIN($A$10,$A$2),"",IF($A$5="","Choose stock",IF(NOT($A$12),"Check split rule",IF(NOT(ISNUMBER(B809)),"Invalid date",IF(OR(B809&lt;=0,B809&lt;&gt;INT(B809)),"Invalid date",IF(COUNTIFS(DemoHistory[Date],B809)&lt;&gt;1,"Duplicate date",IF(AND($A809&gt;1,B809&lt;=B808),"Dates out of order",IF(NOT(ISNUMBER(C809)),"Missing price",IF(C809&lt;=0,"Nonpositive price","OK")))))))))</f>
        <v/>
      </c>
      <c r="I809" s="136"/>
      <c r="J809" s="136"/>
      <c r="K809" s="136"/>
      <c r="L809" s="136"/>
      <c r="M809" s="136"/>
      <c r="N809" s="136" t="e">
        <f t="shared" si="34"/>
        <v>#N/A</v>
      </c>
      <c r="O809" s="136" t="e">
        <f t="shared" si="35"/>
        <v>#N/A</v>
      </c>
    </row>
    <row r="810" spans="1:15" ht="22.05" customHeight="1" x14ac:dyDescent="0.3">
      <c r="A810" s="136">
        <v>766</v>
      </c>
      <c r="B810" s="165" t="str">
        <f>IF($A810&gt;MIN($A$10,$A$2),"",INDEX(DemoHistory[Date],$A810))</f>
        <v/>
      </c>
      <c r="C810" s="166" t="str">
        <f>IF(OR($A810&gt;MIN($A$10,$A$2),$A$5=""),"",INDEX(DemoHistory[],$A810,MATCH($A$5,DemoHistory[#Headers],0)))</f>
        <v/>
      </c>
      <c r="D810" s="166" t="str">
        <f>IF($A810&gt;MIN($A$10,$A$2),"",IF(AND($A$12,$A$6=1,B810&lt;$A$7,$A$7&lt;=MAX(DemoHistory[Date])),$A$8,1))</f>
        <v/>
      </c>
      <c r="E810" s="166" t="str">
        <f t="shared" si="33"/>
        <v/>
      </c>
      <c r="F810" s="166" t="str">
        <f>IF($A810&gt;MIN($A$10,$A$2),"",IF($A810&lt;50,"n.a.",IF(COUNT(INDEX(StockDaily[Adjusted close],MAX(1,$A810-50+1)):E810)=50,AVERAGE(INDEX(StockDaily[Adjusted close],MAX(1,$A810-50+1)):E810),"n.a.")))</f>
        <v/>
      </c>
      <c r="G810" s="166" t="str">
        <f>IF($A810&gt;MIN($A$10,$A$2),"",IF($A810&lt;200,"n.a.",IF(COUNT(INDEX(StockDaily[Adjusted close],MAX(1,$A810-200+1)):E810)=200,AVERAGE(INDEX(StockDaily[Adjusted close],MAX(1,$A810-200+1)):E810),"n.a.")))</f>
        <v/>
      </c>
      <c r="H810" s="136" t="str">
        <f>IF($A810&gt;MIN($A$10,$A$2),"",IF($A$5="","Choose stock",IF(NOT($A$12),"Check split rule",IF(NOT(ISNUMBER(B810)),"Invalid date",IF(OR(B810&lt;=0,B810&lt;&gt;INT(B810)),"Invalid date",IF(COUNTIFS(DemoHistory[Date],B810)&lt;&gt;1,"Duplicate date",IF(AND($A810&gt;1,B810&lt;=B809),"Dates out of order",IF(NOT(ISNUMBER(C810)),"Missing price",IF(C810&lt;=0,"Nonpositive price","OK")))))))))</f>
        <v/>
      </c>
      <c r="I810" s="136"/>
      <c r="J810" s="136"/>
      <c r="K810" s="136"/>
      <c r="L810" s="136"/>
      <c r="M810" s="136"/>
      <c r="N810" s="136" t="e">
        <f t="shared" si="34"/>
        <v>#N/A</v>
      </c>
      <c r="O810" s="136" t="e">
        <f t="shared" si="35"/>
        <v>#N/A</v>
      </c>
    </row>
    <row r="811" spans="1:15" ht="22.05" customHeight="1" x14ac:dyDescent="0.3">
      <c r="A811" s="136">
        <v>767</v>
      </c>
      <c r="B811" s="165" t="str">
        <f>IF($A811&gt;MIN($A$10,$A$2),"",INDEX(DemoHistory[Date],$A811))</f>
        <v/>
      </c>
      <c r="C811" s="166" t="str">
        <f>IF(OR($A811&gt;MIN($A$10,$A$2),$A$5=""),"",INDEX(DemoHistory[],$A811,MATCH($A$5,DemoHistory[#Headers],0)))</f>
        <v/>
      </c>
      <c r="D811" s="166" t="str">
        <f>IF($A811&gt;MIN($A$10,$A$2),"",IF(AND($A$12,$A$6=1,B811&lt;$A$7,$A$7&lt;=MAX(DemoHistory[Date])),$A$8,1))</f>
        <v/>
      </c>
      <c r="E811" s="166" t="str">
        <f t="shared" si="33"/>
        <v/>
      </c>
      <c r="F811" s="166" t="str">
        <f>IF($A811&gt;MIN($A$10,$A$2),"",IF($A811&lt;50,"n.a.",IF(COUNT(INDEX(StockDaily[Adjusted close],MAX(1,$A811-50+1)):E811)=50,AVERAGE(INDEX(StockDaily[Adjusted close],MAX(1,$A811-50+1)):E811),"n.a.")))</f>
        <v/>
      </c>
      <c r="G811" s="166" t="str">
        <f>IF($A811&gt;MIN($A$10,$A$2),"",IF($A811&lt;200,"n.a.",IF(COUNT(INDEX(StockDaily[Adjusted close],MAX(1,$A811-200+1)):E811)=200,AVERAGE(INDEX(StockDaily[Adjusted close],MAX(1,$A811-200+1)):E811),"n.a.")))</f>
        <v/>
      </c>
      <c r="H811" s="136" t="str">
        <f>IF($A811&gt;MIN($A$10,$A$2),"",IF($A$5="","Choose stock",IF(NOT($A$12),"Check split rule",IF(NOT(ISNUMBER(B811)),"Invalid date",IF(OR(B811&lt;=0,B811&lt;&gt;INT(B811)),"Invalid date",IF(COUNTIFS(DemoHistory[Date],B811)&lt;&gt;1,"Duplicate date",IF(AND($A811&gt;1,B811&lt;=B810),"Dates out of order",IF(NOT(ISNUMBER(C811)),"Missing price",IF(C811&lt;=0,"Nonpositive price","OK")))))))))</f>
        <v/>
      </c>
      <c r="I811" s="136"/>
      <c r="J811" s="136"/>
      <c r="K811" s="136"/>
      <c r="L811" s="136"/>
      <c r="M811" s="136"/>
      <c r="N811" s="136" t="e">
        <f t="shared" si="34"/>
        <v>#N/A</v>
      </c>
      <c r="O811" s="136" t="e">
        <f t="shared" si="35"/>
        <v>#N/A</v>
      </c>
    </row>
    <row r="812" spans="1:15" ht="22.05" customHeight="1" x14ac:dyDescent="0.3">
      <c r="A812" s="136">
        <v>768</v>
      </c>
      <c r="B812" s="165" t="str">
        <f>IF($A812&gt;MIN($A$10,$A$2),"",INDEX(DemoHistory[Date],$A812))</f>
        <v/>
      </c>
      <c r="C812" s="166" t="str">
        <f>IF(OR($A812&gt;MIN($A$10,$A$2),$A$5=""),"",INDEX(DemoHistory[],$A812,MATCH($A$5,DemoHistory[#Headers],0)))</f>
        <v/>
      </c>
      <c r="D812" s="166" t="str">
        <f>IF($A812&gt;MIN($A$10,$A$2),"",IF(AND($A$12,$A$6=1,B812&lt;$A$7,$A$7&lt;=MAX(DemoHistory[Date])),$A$8,1))</f>
        <v/>
      </c>
      <c r="E812" s="166" t="str">
        <f t="shared" si="33"/>
        <v/>
      </c>
      <c r="F812" s="166" t="str">
        <f>IF($A812&gt;MIN($A$10,$A$2),"",IF($A812&lt;50,"n.a.",IF(COUNT(INDEX(StockDaily[Adjusted close],MAX(1,$A812-50+1)):E812)=50,AVERAGE(INDEX(StockDaily[Adjusted close],MAX(1,$A812-50+1)):E812),"n.a.")))</f>
        <v/>
      </c>
      <c r="G812" s="166" t="str">
        <f>IF($A812&gt;MIN($A$10,$A$2),"",IF($A812&lt;200,"n.a.",IF(COUNT(INDEX(StockDaily[Adjusted close],MAX(1,$A812-200+1)):E812)=200,AVERAGE(INDEX(StockDaily[Adjusted close],MAX(1,$A812-200+1)):E812),"n.a.")))</f>
        <v/>
      </c>
      <c r="H812" s="136" t="str">
        <f>IF($A812&gt;MIN($A$10,$A$2),"",IF($A$5="","Choose stock",IF(NOT($A$12),"Check split rule",IF(NOT(ISNUMBER(B812)),"Invalid date",IF(OR(B812&lt;=0,B812&lt;&gt;INT(B812)),"Invalid date",IF(COUNTIFS(DemoHistory[Date],B812)&lt;&gt;1,"Duplicate date",IF(AND($A812&gt;1,B812&lt;=B811),"Dates out of order",IF(NOT(ISNUMBER(C812)),"Missing price",IF(C812&lt;=0,"Nonpositive price","OK")))))))))</f>
        <v/>
      </c>
      <c r="I812" s="136"/>
      <c r="J812" s="136"/>
      <c r="K812" s="136"/>
      <c r="L812" s="136"/>
      <c r="M812" s="136"/>
      <c r="N812" s="136" t="e">
        <f t="shared" si="34"/>
        <v>#N/A</v>
      </c>
      <c r="O812" s="136" t="e">
        <f t="shared" si="35"/>
        <v>#N/A</v>
      </c>
    </row>
    <row r="813" spans="1:15" ht="22.05" customHeight="1" x14ac:dyDescent="0.3">
      <c r="A813" s="136">
        <v>769</v>
      </c>
      <c r="B813" s="165" t="str">
        <f>IF($A813&gt;MIN($A$10,$A$2),"",INDEX(DemoHistory[Date],$A813))</f>
        <v/>
      </c>
      <c r="C813" s="166" t="str">
        <f>IF(OR($A813&gt;MIN($A$10,$A$2),$A$5=""),"",INDEX(DemoHistory[],$A813,MATCH($A$5,DemoHistory[#Headers],0)))</f>
        <v/>
      </c>
      <c r="D813" s="166" t="str">
        <f>IF($A813&gt;MIN($A$10,$A$2),"",IF(AND($A$12,$A$6=1,B813&lt;$A$7,$A$7&lt;=MAX(DemoHistory[Date])),$A$8,1))</f>
        <v/>
      </c>
      <c r="E813" s="166" t="str">
        <f t="shared" ref="E813:E876" si="36">IF($A813&gt;MIN($A$10,$A$2),"",IF(H813="OK",C813/D813,"n.a."))</f>
        <v/>
      </c>
      <c r="F813" s="166" t="str">
        <f>IF($A813&gt;MIN($A$10,$A$2),"",IF($A813&lt;50,"n.a.",IF(COUNT(INDEX(StockDaily[Adjusted close],MAX(1,$A813-50+1)):E813)=50,AVERAGE(INDEX(StockDaily[Adjusted close],MAX(1,$A813-50+1)):E813),"n.a.")))</f>
        <v/>
      </c>
      <c r="G813" s="166" t="str">
        <f>IF($A813&gt;MIN($A$10,$A$2),"",IF($A813&lt;200,"n.a.",IF(COUNT(INDEX(StockDaily[Adjusted close],MAX(1,$A813-200+1)):E813)=200,AVERAGE(INDEX(StockDaily[Adjusted close],MAX(1,$A813-200+1)):E813),"n.a.")))</f>
        <v/>
      </c>
      <c r="H813" s="136" t="str">
        <f>IF($A813&gt;MIN($A$10,$A$2),"",IF($A$5="","Choose stock",IF(NOT($A$12),"Check split rule",IF(NOT(ISNUMBER(B813)),"Invalid date",IF(OR(B813&lt;=0,B813&lt;&gt;INT(B813)),"Invalid date",IF(COUNTIFS(DemoHistory[Date],B813)&lt;&gt;1,"Duplicate date",IF(AND($A813&gt;1,B813&lt;=B812),"Dates out of order",IF(NOT(ISNUMBER(C813)),"Missing price",IF(C813&lt;=0,"Nonpositive price","OK")))))))))</f>
        <v/>
      </c>
      <c r="I813" s="136"/>
      <c r="J813" s="136"/>
      <c r="K813" s="136"/>
      <c r="L813" s="136"/>
      <c r="M813" s="136"/>
      <c r="N813" s="136" t="e">
        <f t="shared" ref="N813:N876" si="37">IF(AND($A$13="Ready",ISNUMBER(E813)),E813,NA())</f>
        <v>#N/A</v>
      </c>
      <c r="O813" s="136" t="e">
        <f t="shared" ref="O813:O876" si="38">IF(AND($A$13="Ready",ISNUMBER(F813)),F813,NA())</f>
        <v>#N/A</v>
      </c>
    </row>
    <row r="814" spans="1:15" ht="22.05" customHeight="1" x14ac:dyDescent="0.3">
      <c r="A814" s="136">
        <v>770</v>
      </c>
      <c r="B814" s="165" t="str">
        <f>IF($A814&gt;MIN($A$10,$A$2),"",INDEX(DemoHistory[Date],$A814))</f>
        <v/>
      </c>
      <c r="C814" s="166" t="str">
        <f>IF(OR($A814&gt;MIN($A$10,$A$2),$A$5=""),"",INDEX(DemoHistory[],$A814,MATCH($A$5,DemoHistory[#Headers],0)))</f>
        <v/>
      </c>
      <c r="D814" s="166" t="str">
        <f>IF($A814&gt;MIN($A$10,$A$2),"",IF(AND($A$12,$A$6=1,B814&lt;$A$7,$A$7&lt;=MAX(DemoHistory[Date])),$A$8,1))</f>
        <v/>
      </c>
      <c r="E814" s="166" t="str">
        <f t="shared" si="36"/>
        <v/>
      </c>
      <c r="F814" s="166" t="str">
        <f>IF($A814&gt;MIN($A$10,$A$2),"",IF($A814&lt;50,"n.a.",IF(COUNT(INDEX(StockDaily[Adjusted close],MAX(1,$A814-50+1)):E814)=50,AVERAGE(INDEX(StockDaily[Adjusted close],MAX(1,$A814-50+1)):E814),"n.a.")))</f>
        <v/>
      </c>
      <c r="G814" s="166" t="str">
        <f>IF($A814&gt;MIN($A$10,$A$2),"",IF($A814&lt;200,"n.a.",IF(COUNT(INDEX(StockDaily[Adjusted close],MAX(1,$A814-200+1)):E814)=200,AVERAGE(INDEX(StockDaily[Adjusted close],MAX(1,$A814-200+1)):E814),"n.a.")))</f>
        <v/>
      </c>
      <c r="H814" s="136" t="str">
        <f>IF($A814&gt;MIN($A$10,$A$2),"",IF($A$5="","Choose stock",IF(NOT($A$12),"Check split rule",IF(NOT(ISNUMBER(B814)),"Invalid date",IF(OR(B814&lt;=0,B814&lt;&gt;INT(B814)),"Invalid date",IF(COUNTIFS(DemoHistory[Date],B814)&lt;&gt;1,"Duplicate date",IF(AND($A814&gt;1,B814&lt;=B813),"Dates out of order",IF(NOT(ISNUMBER(C814)),"Missing price",IF(C814&lt;=0,"Nonpositive price","OK")))))))))</f>
        <v/>
      </c>
      <c r="I814" s="136"/>
      <c r="J814" s="136"/>
      <c r="K814" s="136"/>
      <c r="L814" s="136"/>
      <c r="M814" s="136"/>
      <c r="N814" s="136" t="e">
        <f t="shared" si="37"/>
        <v>#N/A</v>
      </c>
      <c r="O814" s="136" t="e">
        <f t="shared" si="38"/>
        <v>#N/A</v>
      </c>
    </row>
    <row r="815" spans="1:15" ht="22.05" customHeight="1" x14ac:dyDescent="0.3">
      <c r="A815" s="136">
        <v>771</v>
      </c>
      <c r="B815" s="165" t="str">
        <f>IF($A815&gt;MIN($A$10,$A$2),"",INDEX(DemoHistory[Date],$A815))</f>
        <v/>
      </c>
      <c r="C815" s="166" t="str">
        <f>IF(OR($A815&gt;MIN($A$10,$A$2),$A$5=""),"",INDEX(DemoHistory[],$A815,MATCH($A$5,DemoHistory[#Headers],0)))</f>
        <v/>
      </c>
      <c r="D815" s="166" t="str">
        <f>IF($A815&gt;MIN($A$10,$A$2),"",IF(AND($A$12,$A$6=1,B815&lt;$A$7,$A$7&lt;=MAX(DemoHistory[Date])),$A$8,1))</f>
        <v/>
      </c>
      <c r="E815" s="166" t="str">
        <f t="shared" si="36"/>
        <v/>
      </c>
      <c r="F815" s="166" t="str">
        <f>IF($A815&gt;MIN($A$10,$A$2),"",IF($A815&lt;50,"n.a.",IF(COUNT(INDEX(StockDaily[Adjusted close],MAX(1,$A815-50+1)):E815)=50,AVERAGE(INDEX(StockDaily[Adjusted close],MAX(1,$A815-50+1)):E815),"n.a.")))</f>
        <v/>
      </c>
      <c r="G815" s="166" t="str">
        <f>IF($A815&gt;MIN($A$10,$A$2),"",IF($A815&lt;200,"n.a.",IF(COUNT(INDEX(StockDaily[Adjusted close],MAX(1,$A815-200+1)):E815)=200,AVERAGE(INDEX(StockDaily[Adjusted close],MAX(1,$A815-200+1)):E815),"n.a.")))</f>
        <v/>
      </c>
      <c r="H815" s="136" t="str">
        <f>IF($A815&gt;MIN($A$10,$A$2),"",IF($A$5="","Choose stock",IF(NOT($A$12),"Check split rule",IF(NOT(ISNUMBER(B815)),"Invalid date",IF(OR(B815&lt;=0,B815&lt;&gt;INT(B815)),"Invalid date",IF(COUNTIFS(DemoHistory[Date],B815)&lt;&gt;1,"Duplicate date",IF(AND($A815&gt;1,B815&lt;=B814),"Dates out of order",IF(NOT(ISNUMBER(C815)),"Missing price",IF(C815&lt;=0,"Nonpositive price","OK")))))))))</f>
        <v/>
      </c>
      <c r="I815" s="136"/>
      <c r="J815" s="136"/>
      <c r="K815" s="136"/>
      <c r="L815" s="136"/>
      <c r="M815" s="136"/>
      <c r="N815" s="136" t="e">
        <f t="shared" si="37"/>
        <v>#N/A</v>
      </c>
      <c r="O815" s="136" t="e">
        <f t="shared" si="38"/>
        <v>#N/A</v>
      </c>
    </row>
    <row r="816" spans="1:15" ht="22.05" customHeight="1" x14ac:dyDescent="0.3">
      <c r="A816" s="136">
        <v>772</v>
      </c>
      <c r="B816" s="165" t="str">
        <f>IF($A816&gt;MIN($A$10,$A$2),"",INDEX(DemoHistory[Date],$A816))</f>
        <v/>
      </c>
      <c r="C816" s="166" t="str">
        <f>IF(OR($A816&gt;MIN($A$10,$A$2),$A$5=""),"",INDEX(DemoHistory[],$A816,MATCH($A$5,DemoHistory[#Headers],0)))</f>
        <v/>
      </c>
      <c r="D816" s="166" t="str">
        <f>IF($A816&gt;MIN($A$10,$A$2),"",IF(AND($A$12,$A$6=1,B816&lt;$A$7,$A$7&lt;=MAX(DemoHistory[Date])),$A$8,1))</f>
        <v/>
      </c>
      <c r="E816" s="166" t="str">
        <f t="shared" si="36"/>
        <v/>
      </c>
      <c r="F816" s="166" t="str">
        <f>IF($A816&gt;MIN($A$10,$A$2),"",IF($A816&lt;50,"n.a.",IF(COUNT(INDEX(StockDaily[Adjusted close],MAX(1,$A816-50+1)):E816)=50,AVERAGE(INDEX(StockDaily[Adjusted close],MAX(1,$A816-50+1)):E816),"n.a.")))</f>
        <v/>
      </c>
      <c r="G816" s="166" t="str">
        <f>IF($A816&gt;MIN($A$10,$A$2),"",IF($A816&lt;200,"n.a.",IF(COUNT(INDEX(StockDaily[Adjusted close],MAX(1,$A816-200+1)):E816)=200,AVERAGE(INDEX(StockDaily[Adjusted close],MAX(1,$A816-200+1)):E816),"n.a.")))</f>
        <v/>
      </c>
      <c r="H816" s="136" t="str">
        <f>IF($A816&gt;MIN($A$10,$A$2),"",IF($A$5="","Choose stock",IF(NOT($A$12),"Check split rule",IF(NOT(ISNUMBER(B816)),"Invalid date",IF(OR(B816&lt;=0,B816&lt;&gt;INT(B816)),"Invalid date",IF(COUNTIFS(DemoHistory[Date],B816)&lt;&gt;1,"Duplicate date",IF(AND($A816&gt;1,B816&lt;=B815),"Dates out of order",IF(NOT(ISNUMBER(C816)),"Missing price",IF(C816&lt;=0,"Nonpositive price","OK")))))))))</f>
        <v/>
      </c>
      <c r="I816" s="136"/>
      <c r="J816" s="136"/>
      <c r="K816" s="136"/>
      <c r="L816" s="136"/>
      <c r="M816" s="136"/>
      <c r="N816" s="136" t="e">
        <f t="shared" si="37"/>
        <v>#N/A</v>
      </c>
      <c r="O816" s="136" t="e">
        <f t="shared" si="38"/>
        <v>#N/A</v>
      </c>
    </row>
    <row r="817" spans="1:15" ht="22.05" customHeight="1" x14ac:dyDescent="0.3">
      <c r="A817" s="136">
        <v>773</v>
      </c>
      <c r="B817" s="165" t="str">
        <f>IF($A817&gt;MIN($A$10,$A$2),"",INDEX(DemoHistory[Date],$A817))</f>
        <v/>
      </c>
      <c r="C817" s="166" t="str">
        <f>IF(OR($A817&gt;MIN($A$10,$A$2),$A$5=""),"",INDEX(DemoHistory[],$A817,MATCH($A$5,DemoHistory[#Headers],0)))</f>
        <v/>
      </c>
      <c r="D817" s="166" t="str">
        <f>IF($A817&gt;MIN($A$10,$A$2),"",IF(AND($A$12,$A$6=1,B817&lt;$A$7,$A$7&lt;=MAX(DemoHistory[Date])),$A$8,1))</f>
        <v/>
      </c>
      <c r="E817" s="166" t="str">
        <f t="shared" si="36"/>
        <v/>
      </c>
      <c r="F817" s="166" t="str">
        <f>IF($A817&gt;MIN($A$10,$A$2),"",IF($A817&lt;50,"n.a.",IF(COUNT(INDEX(StockDaily[Adjusted close],MAX(1,$A817-50+1)):E817)=50,AVERAGE(INDEX(StockDaily[Adjusted close],MAX(1,$A817-50+1)):E817),"n.a.")))</f>
        <v/>
      </c>
      <c r="G817" s="166" t="str">
        <f>IF($A817&gt;MIN($A$10,$A$2),"",IF($A817&lt;200,"n.a.",IF(COUNT(INDEX(StockDaily[Adjusted close],MAX(1,$A817-200+1)):E817)=200,AVERAGE(INDEX(StockDaily[Adjusted close],MAX(1,$A817-200+1)):E817),"n.a.")))</f>
        <v/>
      </c>
      <c r="H817" s="136" t="str">
        <f>IF($A817&gt;MIN($A$10,$A$2),"",IF($A$5="","Choose stock",IF(NOT($A$12),"Check split rule",IF(NOT(ISNUMBER(B817)),"Invalid date",IF(OR(B817&lt;=0,B817&lt;&gt;INT(B817)),"Invalid date",IF(COUNTIFS(DemoHistory[Date],B817)&lt;&gt;1,"Duplicate date",IF(AND($A817&gt;1,B817&lt;=B816),"Dates out of order",IF(NOT(ISNUMBER(C817)),"Missing price",IF(C817&lt;=0,"Nonpositive price","OK")))))))))</f>
        <v/>
      </c>
      <c r="I817" s="136"/>
      <c r="J817" s="136"/>
      <c r="K817" s="136"/>
      <c r="L817" s="136"/>
      <c r="M817" s="136"/>
      <c r="N817" s="136" t="e">
        <f t="shared" si="37"/>
        <v>#N/A</v>
      </c>
      <c r="O817" s="136" t="e">
        <f t="shared" si="38"/>
        <v>#N/A</v>
      </c>
    </row>
    <row r="818" spans="1:15" ht="22.05" customHeight="1" x14ac:dyDescent="0.3">
      <c r="A818" s="136">
        <v>774</v>
      </c>
      <c r="B818" s="165" t="str">
        <f>IF($A818&gt;MIN($A$10,$A$2),"",INDEX(DemoHistory[Date],$A818))</f>
        <v/>
      </c>
      <c r="C818" s="166" t="str">
        <f>IF(OR($A818&gt;MIN($A$10,$A$2),$A$5=""),"",INDEX(DemoHistory[],$A818,MATCH($A$5,DemoHistory[#Headers],0)))</f>
        <v/>
      </c>
      <c r="D818" s="166" t="str">
        <f>IF($A818&gt;MIN($A$10,$A$2),"",IF(AND($A$12,$A$6=1,B818&lt;$A$7,$A$7&lt;=MAX(DemoHistory[Date])),$A$8,1))</f>
        <v/>
      </c>
      <c r="E818" s="166" t="str">
        <f t="shared" si="36"/>
        <v/>
      </c>
      <c r="F818" s="166" t="str">
        <f>IF($A818&gt;MIN($A$10,$A$2),"",IF($A818&lt;50,"n.a.",IF(COUNT(INDEX(StockDaily[Adjusted close],MAX(1,$A818-50+1)):E818)=50,AVERAGE(INDEX(StockDaily[Adjusted close],MAX(1,$A818-50+1)):E818),"n.a.")))</f>
        <v/>
      </c>
      <c r="G818" s="166" t="str">
        <f>IF($A818&gt;MIN($A$10,$A$2),"",IF($A818&lt;200,"n.a.",IF(COUNT(INDEX(StockDaily[Adjusted close],MAX(1,$A818-200+1)):E818)=200,AVERAGE(INDEX(StockDaily[Adjusted close],MAX(1,$A818-200+1)):E818),"n.a.")))</f>
        <v/>
      </c>
      <c r="H818" s="136" t="str">
        <f>IF($A818&gt;MIN($A$10,$A$2),"",IF($A$5="","Choose stock",IF(NOT($A$12),"Check split rule",IF(NOT(ISNUMBER(B818)),"Invalid date",IF(OR(B818&lt;=0,B818&lt;&gt;INT(B818)),"Invalid date",IF(COUNTIFS(DemoHistory[Date],B818)&lt;&gt;1,"Duplicate date",IF(AND($A818&gt;1,B818&lt;=B817),"Dates out of order",IF(NOT(ISNUMBER(C818)),"Missing price",IF(C818&lt;=0,"Nonpositive price","OK")))))))))</f>
        <v/>
      </c>
      <c r="I818" s="136"/>
      <c r="J818" s="136"/>
      <c r="K818" s="136"/>
      <c r="L818" s="136"/>
      <c r="M818" s="136"/>
      <c r="N818" s="136" t="e">
        <f t="shared" si="37"/>
        <v>#N/A</v>
      </c>
      <c r="O818" s="136" t="e">
        <f t="shared" si="38"/>
        <v>#N/A</v>
      </c>
    </row>
    <row r="819" spans="1:15" ht="22.05" customHeight="1" x14ac:dyDescent="0.3">
      <c r="A819" s="136">
        <v>775</v>
      </c>
      <c r="B819" s="165" t="str">
        <f>IF($A819&gt;MIN($A$10,$A$2),"",INDEX(DemoHistory[Date],$A819))</f>
        <v/>
      </c>
      <c r="C819" s="166" t="str">
        <f>IF(OR($A819&gt;MIN($A$10,$A$2),$A$5=""),"",INDEX(DemoHistory[],$A819,MATCH($A$5,DemoHistory[#Headers],0)))</f>
        <v/>
      </c>
      <c r="D819" s="166" t="str">
        <f>IF($A819&gt;MIN($A$10,$A$2),"",IF(AND($A$12,$A$6=1,B819&lt;$A$7,$A$7&lt;=MAX(DemoHistory[Date])),$A$8,1))</f>
        <v/>
      </c>
      <c r="E819" s="166" t="str">
        <f t="shared" si="36"/>
        <v/>
      </c>
      <c r="F819" s="166" t="str">
        <f>IF($A819&gt;MIN($A$10,$A$2),"",IF($A819&lt;50,"n.a.",IF(COUNT(INDEX(StockDaily[Adjusted close],MAX(1,$A819-50+1)):E819)=50,AVERAGE(INDEX(StockDaily[Adjusted close],MAX(1,$A819-50+1)):E819),"n.a.")))</f>
        <v/>
      </c>
      <c r="G819" s="166" t="str">
        <f>IF($A819&gt;MIN($A$10,$A$2),"",IF($A819&lt;200,"n.a.",IF(COUNT(INDEX(StockDaily[Adjusted close],MAX(1,$A819-200+1)):E819)=200,AVERAGE(INDEX(StockDaily[Adjusted close],MAX(1,$A819-200+1)):E819),"n.a.")))</f>
        <v/>
      </c>
      <c r="H819" s="136" t="str">
        <f>IF($A819&gt;MIN($A$10,$A$2),"",IF($A$5="","Choose stock",IF(NOT($A$12),"Check split rule",IF(NOT(ISNUMBER(B819)),"Invalid date",IF(OR(B819&lt;=0,B819&lt;&gt;INT(B819)),"Invalid date",IF(COUNTIFS(DemoHistory[Date],B819)&lt;&gt;1,"Duplicate date",IF(AND($A819&gt;1,B819&lt;=B818),"Dates out of order",IF(NOT(ISNUMBER(C819)),"Missing price",IF(C819&lt;=0,"Nonpositive price","OK")))))))))</f>
        <v/>
      </c>
      <c r="I819" s="136"/>
      <c r="J819" s="136"/>
      <c r="K819" s="136"/>
      <c r="L819" s="136"/>
      <c r="M819" s="136"/>
      <c r="N819" s="136" t="e">
        <f t="shared" si="37"/>
        <v>#N/A</v>
      </c>
      <c r="O819" s="136" t="e">
        <f t="shared" si="38"/>
        <v>#N/A</v>
      </c>
    </row>
    <row r="820" spans="1:15" ht="22.05" customHeight="1" x14ac:dyDescent="0.3">
      <c r="A820" s="136">
        <v>776</v>
      </c>
      <c r="B820" s="165" t="str">
        <f>IF($A820&gt;MIN($A$10,$A$2),"",INDEX(DemoHistory[Date],$A820))</f>
        <v/>
      </c>
      <c r="C820" s="166" t="str">
        <f>IF(OR($A820&gt;MIN($A$10,$A$2),$A$5=""),"",INDEX(DemoHistory[],$A820,MATCH($A$5,DemoHistory[#Headers],0)))</f>
        <v/>
      </c>
      <c r="D820" s="166" t="str">
        <f>IF($A820&gt;MIN($A$10,$A$2),"",IF(AND($A$12,$A$6=1,B820&lt;$A$7,$A$7&lt;=MAX(DemoHistory[Date])),$A$8,1))</f>
        <v/>
      </c>
      <c r="E820" s="166" t="str">
        <f t="shared" si="36"/>
        <v/>
      </c>
      <c r="F820" s="166" t="str">
        <f>IF($A820&gt;MIN($A$10,$A$2),"",IF($A820&lt;50,"n.a.",IF(COUNT(INDEX(StockDaily[Adjusted close],MAX(1,$A820-50+1)):E820)=50,AVERAGE(INDEX(StockDaily[Adjusted close],MAX(1,$A820-50+1)):E820),"n.a.")))</f>
        <v/>
      </c>
      <c r="G820" s="166" t="str">
        <f>IF($A820&gt;MIN($A$10,$A$2),"",IF($A820&lt;200,"n.a.",IF(COUNT(INDEX(StockDaily[Adjusted close],MAX(1,$A820-200+1)):E820)=200,AVERAGE(INDEX(StockDaily[Adjusted close],MAX(1,$A820-200+1)):E820),"n.a.")))</f>
        <v/>
      </c>
      <c r="H820" s="136" t="str">
        <f>IF($A820&gt;MIN($A$10,$A$2),"",IF($A$5="","Choose stock",IF(NOT($A$12),"Check split rule",IF(NOT(ISNUMBER(B820)),"Invalid date",IF(OR(B820&lt;=0,B820&lt;&gt;INT(B820)),"Invalid date",IF(COUNTIFS(DemoHistory[Date],B820)&lt;&gt;1,"Duplicate date",IF(AND($A820&gt;1,B820&lt;=B819),"Dates out of order",IF(NOT(ISNUMBER(C820)),"Missing price",IF(C820&lt;=0,"Nonpositive price","OK")))))))))</f>
        <v/>
      </c>
      <c r="I820" s="136"/>
      <c r="J820" s="136"/>
      <c r="K820" s="136"/>
      <c r="L820" s="136"/>
      <c r="M820" s="136"/>
      <c r="N820" s="136" t="e">
        <f t="shared" si="37"/>
        <v>#N/A</v>
      </c>
      <c r="O820" s="136" t="e">
        <f t="shared" si="38"/>
        <v>#N/A</v>
      </c>
    </row>
    <row r="821" spans="1:15" ht="22.05" customHeight="1" x14ac:dyDescent="0.3">
      <c r="A821" s="136">
        <v>777</v>
      </c>
      <c r="B821" s="165" t="str">
        <f>IF($A821&gt;MIN($A$10,$A$2),"",INDEX(DemoHistory[Date],$A821))</f>
        <v/>
      </c>
      <c r="C821" s="166" t="str">
        <f>IF(OR($A821&gt;MIN($A$10,$A$2),$A$5=""),"",INDEX(DemoHistory[],$A821,MATCH($A$5,DemoHistory[#Headers],0)))</f>
        <v/>
      </c>
      <c r="D821" s="166" t="str">
        <f>IF($A821&gt;MIN($A$10,$A$2),"",IF(AND($A$12,$A$6=1,B821&lt;$A$7,$A$7&lt;=MAX(DemoHistory[Date])),$A$8,1))</f>
        <v/>
      </c>
      <c r="E821" s="166" t="str">
        <f t="shared" si="36"/>
        <v/>
      </c>
      <c r="F821" s="166" t="str">
        <f>IF($A821&gt;MIN($A$10,$A$2),"",IF($A821&lt;50,"n.a.",IF(COUNT(INDEX(StockDaily[Adjusted close],MAX(1,$A821-50+1)):E821)=50,AVERAGE(INDEX(StockDaily[Adjusted close],MAX(1,$A821-50+1)):E821),"n.a.")))</f>
        <v/>
      </c>
      <c r="G821" s="166" t="str">
        <f>IF($A821&gt;MIN($A$10,$A$2),"",IF($A821&lt;200,"n.a.",IF(COUNT(INDEX(StockDaily[Adjusted close],MAX(1,$A821-200+1)):E821)=200,AVERAGE(INDEX(StockDaily[Adjusted close],MAX(1,$A821-200+1)):E821),"n.a.")))</f>
        <v/>
      </c>
      <c r="H821" s="136" t="str">
        <f>IF($A821&gt;MIN($A$10,$A$2),"",IF($A$5="","Choose stock",IF(NOT($A$12),"Check split rule",IF(NOT(ISNUMBER(B821)),"Invalid date",IF(OR(B821&lt;=0,B821&lt;&gt;INT(B821)),"Invalid date",IF(COUNTIFS(DemoHistory[Date],B821)&lt;&gt;1,"Duplicate date",IF(AND($A821&gt;1,B821&lt;=B820),"Dates out of order",IF(NOT(ISNUMBER(C821)),"Missing price",IF(C821&lt;=0,"Nonpositive price","OK")))))))))</f>
        <v/>
      </c>
      <c r="I821" s="136"/>
      <c r="J821" s="136"/>
      <c r="K821" s="136"/>
      <c r="L821" s="136"/>
      <c r="M821" s="136"/>
      <c r="N821" s="136" t="e">
        <f t="shared" si="37"/>
        <v>#N/A</v>
      </c>
      <c r="O821" s="136" t="e">
        <f t="shared" si="38"/>
        <v>#N/A</v>
      </c>
    </row>
    <row r="822" spans="1:15" ht="22.05" customHeight="1" x14ac:dyDescent="0.3">
      <c r="A822" s="136">
        <v>778</v>
      </c>
      <c r="B822" s="165" t="str">
        <f>IF($A822&gt;MIN($A$10,$A$2),"",INDEX(DemoHistory[Date],$A822))</f>
        <v/>
      </c>
      <c r="C822" s="166" t="str">
        <f>IF(OR($A822&gt;MIN($A$10,$A$2),$A$5=""),"",INDEX(DemoHistory[],$A822,MATCH($A$5,DemoHistory[#Headers],0)))</f>
        <v/>
      </c>
      <c r="D822" s="166" t="str">
        <f>IF($A822&gt;MIN($A$10,$A$2),"",IF(AND($A$12,$A$6=1,B822&lt;$A$7,$A$7&lt;=MAX(DemoHistory[Date])),$A$8,1))</f>
        <v/>
      </c>
      <c r="E822" s="166" t="str">
        <f t="shared" si="36"/>
        <v/>
      </c>
      <c r="F822" s="166" t="str">
        <f>IF($A822&gt;MIN($A$10,$A$2),"",IF($A822&lt;50,"n.a.",IF(COUNT(INDEX(StockDaily[Adjusted close],MAX(1,$A822-50+1)):E822)=50,AVERAGE(INDEX(StockDaily[Adjusted close],MAX(1,$A822-50+1)):E822),"n.a.")))</f>
        <v/>
      </c>
      <c r="G822" s="166" t="str">
        <f>IF($A822&gt;MIN($A$10,$A$2),"",IF($A822&lt;200,"n.a.",IF(COUNT(INDEX(StockDaily[Adjusted close],MAX(1,$A822-200+1)):E822)=200,AVERAGE(INDEX(StockDaily[Adjusted close],MAX(1,$A822-200+1)):E822),"n.a.")))</f>
        <v/>
      </c>
      <c r="H822" s="136" t="str">
        <f>IF($A822&gt;MIN($A$10,$A$2),"",IF($A$5="","Choose stock",IF(NOT($A$12),"Check split rule",IF(NOT(ISNUMBER(B822)),"Invalid date",IF(OR(B822&lt;=0,B822&lt;&gt;INT(B822)),"Invalid date",IF(COUNTIFS(DemoHistory[Date],B822)&lt;&gt;1,"Duplicate date",IF(AND($A822&gt;1,B822&lt;=B821),"Dates out of order",IF(NOT(ISNUMBER(C822)),"Missing price",IF(C822&lt;=0,"Nonpositive price","OK")))))))))</f>
        <v/>
      </c>
      <c r="I822" s="136"/>
      <c r="J822" s="136"/>
      <c r="K822" s="136"/>
      <c r="L822" s="136"/>
      <c r="M822" s="136"/>
      <c r="N822" s="136" t="e">
        <f t="shared" si="37"/>
        <v>#N/A</v>
      </c>
      <c r="O822" s="136" t="e">
        <f t="shared" si="38"/>
        <v>#N/A</v>
      </c>
    </row>
    <row r="823" spans="1:15" ht="22.05" customHeight="1" x14ac:dyDescent="0.3">
      <c r="A823" s="136">
        <v>779</v>
      </c>
      <c r="B823" s="165" t="str">
        <f>IF($A823&gt;MIN($A$10,$A$2),"",INDEX(DemoHistory[Date],$A823))</f>
        <v/>
      </c>
      <c r="C823" s="166" t="str">
        <f>IF(OR($A823&gt;MIN($A$10,$A$2),$A$5=""),"",INDEX(DemoHistory[],$A823,MATCH($A$5,DemoHistory[#Headers],0)))</f>
        <v/>
      </c>
      <c r="D823" s="166" t="str">
        <f>IF($A823&gt;MIN($A$10,$A$2),"",IF(AND($A$12,$A$6=1,B823&lt;$A$7,$A$7&lt;=MAX(DemoHistory[Date])),$A$8,1))</f>
        <v/>
      </c>
      <c r="E823" s="166" t="str">
        <f t="shared" si="36"/>
        <v/>
      </c>
      <c r="F823" s="166" t="str">
        <f>IF($A823&gt;MIN($A$10,$A$2),"",IF($A823&lt;50,"n.a.",IF(COUNT(INDEX(StockDaily[Adjusted close],MAX(1,$A823-50+1)):E823)=50,AVERAGE(INDEX(StockDaily[Adjusted close],MAX(1,$A823-50+1)):E823),"n.a.")))</f>
        <v/>
      </c>
      <c r="G823" s="166" t="str">
        <f>IF($A823&gt;MIN($A$10,$A$2),"",IF($A823&lt;200,"n.a.",IF(COUNT(INDEX(StockDaily[Adjusted close],MAX(1,$A823-200+1)):E823)=200,AVERAGE(INDEX(StockDaily[Adjusted close],MAX(1,$A823-200+1)):E823),"n.a.")))</f>
        <v/>
      </c>
      <c r="H823" s="136" t="str">
        <f>IF($A823&gt;MIN($A$10,$A$2),"",IF($A$5="","Choose stock",IF(NOT($A$12),"Check split rule",IF(NOT(ISNUMBER(B823)),"Invalid date",IF(OR(B823&lt;=0,B823&lt;&gt;INT(B823)),"Invalid date",IF(COUNTIFS(DemoHistory[Date],B823)&lt;&gt;1,"Duplicate date",IF(AND($A823&gt;1,B823&lt;=B822),"Dates out of order",IF(NOT(ISNUMBER(C823)),"Missing price",IF(C823&lt;=0,"Nonpositive price","OK")))))))))</f>
        <v/>
      </c>
      <c r="I823" s="136"/>
      <c r="J823" s="136"/>
      <c r="K823" s="136"/>
      <c r="L823" s="136"/>
      <c r="M823" s="136"/>
      <c r="N823" s="136" t="e">
        <f t="shared" si="37"/>
        <v>#N/A</v>
      </c>
      <c r="O823" s="136" t="e">
        <f t="shared" si="38"/>
        <v>#N/A</v>
      </c>
    </row>
    <row r="824" spans="1:15" ht="22.05" customHeight="1" x14ac:dyDescent="0.3">
      <c r="A824" s="136">
        <v>780</v>
      </c>
      <c r="B824" s="165" t="str">
        <f>IF($A824&gt;MIN($A$10,$A$2),"",INDEX(DemoHistory[Date],$A824))</f>
        <v/>
      </c>
      <c r="C824" s="166" t="str">
        <f>IF(OR($A824&gt;MIN($A$10,$A$2),$A$5=""),"",INDEX(DemoHistory[],$A824,MATCH($A$5,DemoHistory[#Headers],0)))</f>
        <v/>
      </c>
      <c r="D824" s="166" t="str">
        <f>IF($A824&gt;MIN($A$10,$A$2),"",IF(AND($A$12,$A$6=1,B824&lt;$A$7,$A$7&lt;=MAX(DemoHistory[Date])),$A$8,1))</f>
        <v/>
      </c>
      <c r="E824" s="166" t="str">
        <f t="shared" si="36"/>
        <v/>
      </c>
      <c r="F824" s="166" t="str">
        <f>IF($A824&gt;MIN($A$10,$A$2),"",IF($A824&lt;50,"n.a.",IF(COUNT(INDEX(StockDaily[Adjusted close],MAX(1,$A824-50+1)):E824)=50,AVERAGE(INDEX(StockDaily[Adjusted close],MAX(1,$A824-50+1)):E824),"n.a.")))</f>
        <v/>
      </c>
      <c r="G824" s="166" t="str">
        <f>IF($A824&gt;MIN($A$10,$A$2),"",IF($A824&lt;200,"n.a.",IF(COUNT(INDEX(StockDaily[Adjusted close],MAX(1,$A824-200+1)):E824)=200,AVERAGE(INDEX(StockDaily[Adjusted close],MAX(1,$A824-200+1)):E824),"n.a.")))</f>
        <v/>
      </c>
      <c r="H824" s="136" t="str">
        <f>IF($A824&gt;MIN($A$10,$A$2),"",IF($A$5="","Choose stock",IF(NOT($A$12),"Check split rule",IF(NOT(ISNUMBER(B824)),"Invalid date",IF(OR(B824&lt;=0,B824&lt;&gt;INT(B824)),"Invalid date",IF(COUNTIFS(DemoHistory[Date],B824)&lt;&gt;1,"Duplicate date",IF(AND($A824&gt;1,B824&lt;=B823),"Dates out of order",IF(NOT(ISNUMBER(C824)),"Missing price",IF(C824&lt;=0,"Nonpositive price","OK")))))))))</f>
        <v/>
      </c>
      <c r="I824" s="136"/>
      <c r="J824" s="136"/>
      <c r="K824" s="136"/>
      <c r="L824" s="136"/>
      <c r="M824" s="136"/>
      <c r="N824" s="136" t="e">
        <f t="shared" si="37"/>
        <v>#N/A</v>
      </c>
      <c r="O824" s="136" t="e">
        <f t="shared" si="38"/>
        <v>#N/A</v>
      </c>
    </row>
    <row r="825" spans="1:15" ht="22.05" customHeight="1" x14ac:dyDescent="0.3">
      <c r="A825" s="136">
        <v>781</v>
      </c>
      <c r="B825" s="165" t="str">
        <f>IF($A825&gt;MIN($A$10,$A$2),"",INDEX(DemoHistory[Date],$A825))</f>
        <v/>
      </c>
      <c r="C825" s="166" t="str">
        <f>IF(OR($A825&gt;MIN($A$10,$A$2),$A$5=""),"",INDEX(DemoHistory[],$A825,MATCH($A$5,DemoHistory[#Headers],0)))</f>
        <v/>
      </c>
      <c r="D825" s="166" t="str">
        <f>IF($A825&gt;MIN($A$10,$A$2),"",IF(AND($A$12,$A$6=1,B825&lt;$A$7,$A$7&lt;=MAX(DemoHistory[Date])),$A$8,1))</f>
        <v/>
      </c>
      <c r="E825" s="166" t="str">
        <f t="shared" si="36"/>
        <v/>
      </c>
      <c r="F825" s="166" t="str">
        <f>IF($A825&gt;MIN($A$10,$A$2),"",IF($A825&lt;50,"n.a.",IF(COUNT(INDEX(StockDaily[Adjusted close],MAX(1,$A825-50+1)):E825)=50,AVERAGE(INDEX(StockDaily[Adjusted close],MAX(1,$A825-50+1)):E825),"n.a.")))</f>
        <v/>
      </c>
      <c r="G825" s="166" t="str">
        <f>IF($A825&gt;MIN($A$10,$A$2),"",IF($A825&lt;200,"n.a.",IF(COUNT(INDEX(StockDaily[Adjusted close],MAX(1,$A825-200+1)):E825)=200,AVERAGE(INDEX(StockDaily[Adjusted close],MAX(1,$A825-200+1)):E825),"n.a.")))</f>
        <v/>
      </c>
      <c r="H825" s="136" t="str">
        <f>IF($A825&gt;MIN($A$10,$A$2),"",IF($A$5="","Choose stock",IF(NOT($A$12),"Check split rule",IF(NOT(ISNUMBER(B825)),"Invalid date",IF(OR(B825&lt;=0,B825&lt;&gt;INT(B825)),"Invalid date",IF(COUNTIFS(DemoHistory[Date],B825)&lt;&gt;1,"Duplicate date",IF(AND($A825&gt;1,B825&lt;=B824),"Dates out of order",IF(NOT(ISNUMBER(C825)),"Missing price",IF(C825&lt;=0,"Nonpositive price","OK")))))))))</f>
        <v/>
      </c>
      <c r="I825" s="136"/>
      <c r="J825" s="136"/>
      <c r="K825" s="136"/>
      <c r="L825" s="136"/>
      <c r="M825" s="136"/>
      <c r="N825" s="136" t="e">
        <f t="shared" si="37"/>
        <v>#N/A</v>
      </c>
      <c r="O825" s="136" t="e">
        <f t="shared" si="38"/>
        <v>#N/A</v>
      </c>
    </row>
    <row r="826" spans="1:15" ht="22.05" customHeight="1" x14ac:dyDescent="0.3">
      <c r="A826" s="136">
        <v>782</v>
      </c>
      <c r="B826" s="165" t="str">
        <f>IF($A826&gt;MIN($A$10,$A$2),"",INDEX(DemoHistory[Date],$A826))</f>
        <v/>
      </c>
      <c r="C826" s="166" t="str">
        <f>IF(OR($A826&gt;MIN($A$10,$A$2),$A$5=""),"",INDEX(DemoHistory[],$A826,MATCH($A$5,DemoHistory[#Headers],0)))</f>
        <v/>
      </c>
      <c r="D826" s="166" t="str">
        <f>IF($A826&gt;MIN($A$10,$A$2),"",IF(AND($A$12,$A$6=1,B826&lt;$A$7,$A$7&lt;=MAX(DemoHistory[Date])),$A$8,1))</f>
        <v/>
      </c>
      <c r="E826" s="166" t="str">
        <f t="shared" si="36"/>
        <v/>
      </c>
      <c r="F826" s="166" t="str">
        <f>IF($A826&gt;MIN($A$10,$A$2),"",IF($A826&lt;50,"n.a.",IF(COUNT(INDEX(StockDaily[Adjusted close],MAX(1,$A826-50+1)):E826)=50,AVERAGE(INDEX(StockDaily[Adjusted close],MAX(1,$A826-50+1)):E826),"n.a.")))</f>
        <v/>
      </c>
      <c r="G826" s="166" t="str">
        <f>IF($A826&gt;MIN($A$10,$A$2),"",IF($A826&lt;200,"n.a.",IF(COUNT(INDEX(StockDaily[Adjusted close],MAX(1,$A826-200+1)):E826)=200,AVERAGE(INDEX(StockDaily[Adjusted close],MAX(1,$A826-200+1)):E826),"n.a.")))</f>
        <v/>
      </c>
      <c r="H826" s="136" t="str">
        <f>IF($A826&gt;MIN($A$10,$A$2),"",IF($A$5="","Choose stock",IF(NOT($A$12),"Check split rule",IF(NOT(ISNUMBER(B826)),"Invalid date",IF(OR(B826&lt;=0,B826&lt;&gt;INT(B826)),"Invalid date",IF(COUNTIFS(DemoHistory[Date],B826)&lt;&gt;1,"Duplicate date",IF(AND($A826&gt;1,B826&lt;=B825),"Dates out of order",IF(NOT(ISNUMBER(C826)),"Missing price",IF(C826&lt;=0,"Nonpositive price","OK")))))))))</f>
        <v/>
      </c>
      <c r="I826" s="136"/>
      <c r="J826" s="136"/>
      <c r="K826" s="136"/>
      <c r="L826" s="136"/>
      <c r="M826" s="136"/>
      <c r="N826" s="136" t="e">
        <f t="shared" si="37"/>
        <v>#N/A</v>
      </c>
      <c r="O826" s="136" t="e">
        <f t="shared" si="38"/>
        <v>#N/A</v>
      </c>
    </row>
    <row r="827" spans="1:15" ht="22.05" customHeight="1" x14ac:dyDescent="0.3">
      <c r="A827" s="136">
        <v>783</v>
      </c>
      <c r="B827" s="165" t="str">
        <f>IF($A827&gt;MIN($A$10,$A$2),"",INDEX(DemoHistory[Date],$A827))</f>
        <v/>
      </c>
      <c r="C827" s="166" t="str">
        <f>IF(OR($A827&gt;MIN($A$10,$A$2),$A$5=""),"",INDEX(DemoHistory[],$A827,MATCH($A$5,DemoHistory[#Headers],0)))</f>
        <v/>
      </c>
      <c r="D827" s="166" t="str">
        <f>IF($A827&gt;MIN($A$10,$A$2),"",IF(AND($A$12,$A$6=1,B827&lt;$A$7,$A$7&lt;=MAX(DemoHistory[Date])),$A$8,1))</f>
        <v/>
      </c>
      <c r="E827" s="166" t="str">
        <f t="shared" si="36"/>
        <v/>
      </c>
      <c r="F827" s="166" t="str">
        <f>IF($A827&gt;MIN($A$10,$A$2),"",IF($A827&lt;50,"n.a.",IF(COUNT(INDEX(StockDaily[Adjusted close],MAX(1,$A827-50+1)):E827)=50,AVERAGE(INDEX(StockDaily[Adjusted close],MAX(1,$A827-50+1)):E827),"n.a.")))</f>
        <v/>
      </c>
      <c r="G827" s="166" t="str">
        <f>IF($A827&gt;MIN($A$10,$A$2),"",IF($A827&lt;200,"n.a.",IF(COUNT(INDEX(StockDaily[Adjusted close],MAX(1,$A827-200+1)):E827)=200,AVERAGE(INDEX(StockDaily[Adjusted close],MAX(1,$A827-200+1)):E827),"n.a.")))</f>
        <v/>
      </c>
      <c r="H827" s="136" t="str">
        <f>IF($A827&gt;MIN($A$10,$A$2),"",IF($A$5="","Choose stock",IF(NOT($A$12),"Check split rule",IF(NOT(ISNUMBER(B827)),"Invalid date",IF(OR(B827&lt;=0,B827&lt;&gt;INT(B827)),"Invalid date",IF(COUNTIFS(DemoHistory[Date],B827)&lt;&gt;1,"Duplicate date",IF(AND($A827&gt;1,B827&lt;=B826),"Dates out of order",IF(NOT(ISNUMBER(C827)),"Missing price",IF(C827&lt;=0,"Nonpositive price","OK")))))))))</f>
        <v/>
      </c>
      <c r="I827" s="136"/>
      <c r="J827" s="136"/>
      <c r="K827" s="136"/>
      <c r="L827" s="136"/>
      <c r="M827" s="136"/>
      <c r="N827" s="136" t="e">
        <f t="shared" si="37"/>
        <v>#N/A</v>
      </c>
      <c r="O827" s="136" t="e">
        <f t="shared" si="38"/>
        <v>#N/A</v>
      </c>
    </row>
    <row r="828" spans="1:15" ht="22.05" customHeight="1" x14ac:dyDescent="0.3">
      <c r="A828" s="136">
        <v>784</v>
      </c>
      <c r="B828" s="165" t="str">
        <f>IF($A828&gt;MIN($A$10,$A$2),"",INDEX(DemoHistory[Date],$A828))</f>
        <v/>
      </c>
      <c r="C828" s="166" t="str">
        <f>IF(OR($A828&gt;MIN($A$10,$A$2),$A$5=""),"",INDEX(DemoHistory[],$A828,MATCH($A$5,DemoHistory[#Headers],0)))</f>
        <v/>
      </c>
      <c r="D828" s="166" t="str">
        <f>IF($A828&gt;MIN($A$10,$A$2),"",IF(AND($A$12,$A$6=1,B828&lt;$A$7,$A$7&lt;=MAX(DemoHistory[Date])),$A$8,1))</f>
        <v/>
      </c>
      <c r="E828" s="166" t="str">
        <f t="shared" si="36"/>
        <v/>
      </c>
      <c r="F828" s="166" t="str">
        <f>IF($A828&gt;MIN($A$10,$A$2),"",IF($A828&lt;50,"n.a.",IF(COUNT(INDEX(StockDaily[Adjusted close],MAX(1,$A828-50+1)):E828)=50,AVERAGE(INDEX(StockDaily[Adjusted close],MAX(1,$A828-50+1)):E828),"n.a.")))</f>
        <v/>
      </c>
      <c r="G828" s="166" t="str">
        <f>IF($A828&gt;MIN($A$10,$A$2),"",IF($A828&lt;200,"n.a.",IF(COUNT(INDEX(StockDaily[Adjusted close],MAX(1,$A828-200+1)):E828)=200,AVERAGE(INDEX(StockDaily[Adjusted close],MAX(1,$A828-200+1)):E828),"n.a.")))</f>
        <v/>
      </c>
      <c r="H828" s="136" t="str">
        <f>IF($A828&gt;MIN($A$10,$A$2),"",IF($A$5="","Choose stock",IF(NOT($A$12),"Check split rule",IF(NOT(ISNUMBER(B828)),"Invalid date",IF(OR(B828&lt;=0,B828&lt;&gt;INT(B828)),"Invalid date",IF(COUNTIFS(DemoHistory[Date],B828)&lt;&gt;1,"Duplicate date",IF(AND($A828&gt;1,B828&lt;=B827),"Dates out of order",IF(NOT(ISNUMBER(C828)),"Missing price",IF(C828&lt;=0,"Nonpositive price","OK")))))))))</f>
        <v/>
      </c>
      <c r="I828" s="136"/>
      <c r="J828" s="136"/>
      <c r="K828" s="136"/>
      <c r="L828" s="136"/>
      <c r="M828" s="136"/>
      <c r="N828" s="136" t="e">
        <f t="shared" si="37"/>
        <v>#N/A</v>
      </c>
      <c r="O828" s="136" t="e">
        <f t="shared" si="38"/>
        <v>#N/A</v>
      </c>
    </row>
    <row r="829" spans="1:15" ht="22.05" customHeight="1" x14ac:dyDescent="0.3">
      <c r="A829" s="136">
        <v>785</v>
      </c>
      <c r="B829" s="165" t="str">
        <f>IF($A829&gt;MIN($A$10,$A$2),"",INDEX(DemoHistory[Date],$A829))</f>
        <v/>
      </c>
      <c r="C829" s="166" t="str">
        <f>IF(OR($A829&gt;MIN($A$10,$A$2),$A$5=""),"",INDEX(DemoHistory[],$A829,MATCH($A$5,DemoHistory[#Headers],0)))</f>
        <v/>
      </c>
      <c r="D829" s="166" t="str">
        <f>IF($A829&gt;MIN($A$10,$A$2),"",IF(AND($A$12,$A$6=1,B829&lt;$A$7,$A$7&lt;=MAX(DemoHistory[Date])),$A$8,1))</f>
        <v/>
      </c>
      <c r="E829" s="166" t="str">
        <f t="shared" si="36"/>
        <v/>
      </c>
      <c r="F829" s="166" t="str">
        <f>IF($A829&gt;MIN($A$10,$A$2),"",IF($A829&lt;50,"n.a.",IF(COUNT(INDEX(StockDaily[Adjusted close],MAX(1,$A829-50+1)):E829)=50,AVERAGE(INDEX(StockDaily[Adjusted close],MAX(1,$A829-50+1)):E829),"n.a.")))</f>
        <v/>
      </c>
      <c r="G829" s="166" t="str">
        <f>IF($A829&gt;MIN($A$10,$A$2),"",IF($A829&lt;200,"n.a.",IF(COUNT(INDEX(StockDaily[Adjusted close],MAX(1,$A829-200+1)):E829)=200,AVERAGE(INDEX(StockDaily[Adjusted close],MAX(1,$A829-200+1)):E829),"n.a.")))</f>
        <v/>
      </c>
      <c r="H829" s="136" t="str">
        <f>IF($A829&gt;MIN($A$10,$A$2),"",IF($A$5="","Choose stock",IF(NOT($A$12),"Check split rule",IF(NOT(ISNUMBER(B829)),"Invalid date",IF(OR(B829&lt;=0,B829&lt;&gt;INT(B829)),"Invalid date",IF(COUNTIFS(DemoHistory[Date],B829)&lt;&gt;1,"Duplicate date",IF(AND($A829&gt;1,B829&lt;=B828),"Dates out of order",IF(NOT(ISNUMBER(C829)),"Missing price",IF(C829&lt;=0,"Nonpositive price","OK")))))))))</f>
        <v/>
      </c>
      <c r="I829" s="136"/>
      <c r="J829" s="136"/>
      <c r="K829" s="136"/>
      <c r="L829" s="136"/>
      <c r="M829" s="136"/>
      <c r="N829" s="136" t="e">
        <f t="shared" si="37"/>
        <v>#N/A</v>
      </c>
      <c r="O829" s="136" t="e">
        <f t="shared" si="38"/>
        <v>#N/A</v>
      </c>
    </row>
    <row r="830" spans="1:15" ht="22.05" customHeight="1" x14ac:dyDescent="0.3">
      <c r="A830" s="136">
        <v>786</v>
      </c>
      <c r="B830" s="165" t="str">
        <f>IF($A830&gt;MIN($A$10,$A$2),"",INDEX(DemoHistory[Date],$A830))</f>
        <v/>
      </c>
      <c r="C830" s="166" t="str">
        <f>IF(OR($A830&gt;MIN($A$10,$A$2),$A$5=""),"",INDEX(DemoHistory[],$A830,MATCH($A$5,DemoHistory[#Headers],0)))</f>
        <v/>
      </c>
      <c r="D830" s="166" t="str">
        <f>IF($A830&gt;MIN($A$10,$A$2),"",IF(AND($A$12,$A$6=1,B830&lt;$A$7,$A$7&lt;=MAX(DemoHistory[Date])),$A$8,1))</f>
        <v/>
      </c>
      <c r="E830" s="166" t="str">
        <f t="shared" si="36"/>
        <v/>
      </c>
      <c r="F830" s="166" t="str">
        <f>IF($A830&gt;MIN($A$10,$A$2),"",IF($A830&lt;50,"n.a.",IF(COUNT(INDEX(StockDaily[Adjusted close],MAX(1,$A830-50+1)):E830)=50,AVERAGE(INDEX(StockDaily[Adjusted close],MAX(1,$A830-50+1)):E830),"n.a.")))</f>
        <v/>
      </c>
      <c r="G830" s="166" t="str">
        <f>IF($A830&gt;MIN($A$10,$A$2),"",IF($A830&lt;200,"n.a.",IF(COUNT(INDEX(StockDaily[Adjusted close],MAX(1,$A830-200+1)):E830)=200,AVERAGE(INDEX(StockDaily[Adjusted close],MAX(1,$A830-200+1)):E830),"n.a.")))</f>
        <v/>
      </c>
      <c r="H830" s="136" t="str">
        <f>IF($A830&gt;MIN($A$10,$A$2),"",IF($A$5="","Choose stock",IF(NOT($A$12),"Check split rule",IF(NOT(ISNUMBER(B830)),"Invalid date",IF(OR(B830&lt;=0,B830&lt;&gt;INT(B830)),"Invalid date",IF(COUNTIFS(DemoHistory[Date],B830)&lt;&gt;1,"Duplicate date",IF(AND($A830&gt;1,B830&lt;=B829),"Dates out of order",IF(NOT(ISNUMBER(C830)),"Missing price",IF(C830&lt;=0,"Nonpositive price","OK")))))))))</f>
        <v/>
      </c>
      <c r="I830" s="136"/>
      <c r="J830" s="136"/>
      <c r="K830" s="136"/>
      <c r="L830" s="136"/>
      <c r="M830" s="136"/>
      <c r="N830" s="136" t="e">
        <f t="shared" si="37"/>
        <v>#N/A</v>
      </c>
      <c r="O830" s="136" t="e">
        <f t="shared" si="38"/>
        <v>#N/A</v>
      </c>
    </row>
    <row r="831" spans="1:15" ht="22.05" customHeight="1" x14ac:dyDescent="0.3">
      <c r="A831" s="136">
        <v>787</v>
      </c>
      <c r="B831" s="165" t="str">
        <f>IF($A831&gt;MIN($A$10,$A$2),"",INDEX(DemoHistory[Date],$A831))</f>
        <v/>
      </c>
      <c r="C831" s="166" t="str">
        <f>IF(OR($A831&gt;MIN($A$10,$A$2),$A$5=""),"",INDEX(DemoHistory[],$A831,MATCH($A$5,DemoHistory[#Headers],0)))</f>
        <v/>
      </c>
      <c r="D831" s="166" t="str">
        <f>IF($A831&gt;MIN($A$10,$A$2),"",IF(AND($A$12,$A$6=1,B831&lt;$A$7,$A$7&lt;=MAX(DemoHistory[Date])),$A$8,1))</f>
        <v/>
      </c>
      <c r="E831" s="166" t="str">
        <f t="shared" si="36"/>
        <v/>
      </c>
      <c r="F831" s="166" t="str">
        <f>IF($A831&gt;MIN($A$10,$A$2),"",IF($A831&lt;50,"n.a.",IF(COUNT(INDEX(StockDaily[Adjusted close],MAX(1,$A831-50+1)):E831)=50,AVERAGE(INDEX(StockDaily[Adjusted close],MAX(1,$A831-50+1)):E831),"n.a.")))</f>
        <v/>
      </c>
      <c r="G831" s="166" t="str">
        <f>IF($A831&gt;MIN($A$10,$A$2),"",IF($A831&lt;200,"n.a.",IF(COUNT(INDEX(StockDaily[Adjusted close],MAX(1,$A831-200+1)):E831)=200,AVERAGE(INDEX(StockDaily[Adjusted close],MAX(1,$A831-200+1)):E831),"n.a.")))</f>
        <v/>
      </c>
      <c r="H831" s="136" t="str">
        <f>IF($A831&gt;MIN($A$10,$A$2),"",IF($A$5="","Choose stock",IF(NOT($A$12),"Check split rule",IF(NOT(ISNUMBER(B831)),"Invalid date",IF(OR(B831&lt;=0,B831&lt;&gt;INT(B831)),"Invalid date",IF(COUNTIFS(DemoHistory[Date],B831)&lt;&gt;1,"Duplicate date",IF(AND($A831&gt;1,B831&lt;=B830),"Dates out of order",IF(NOT(ISNUMBER(C831)),"Missing price",IF(C831&lt;=0,"Nonpositive price","OK")))))))))</f>
        <v/>
      </c>
      <c r="I831" s="136"/>
      <c r="J831" s="136"/>
      <c r="K831" s="136"/>
      <c r="L831" s="136"/>
      <c r="M831" s="136"/>
      <c r="N831" s="136" t="e">
        <f t="shared" si="37"/>
        <v>#N/A</v>
      </c>
      <c r="O831" s="136" t="e">
        <f t="shared" si="38"/>
        <v>#N/A</v>
      </c>
    </row>
    <row r="832" spans="1:15" ht="22.05" customHeight="1" x14ac:dyDescent="0.3">
      <c r="A832" s="136">
        <v>788</v>
      </c>
      <c r="B832" s="165" t="str">
        <f>IF($A832&gt;MIN($A$10,$A$2),"",INDEX(DemoHistory[Date],$A832))</f>
        <v/>
      </c>
      <c r="C832" s="166" t="str">
        <f>IF(OR($A832&gt;MIN($A$10,$A$2),$A$5=""),"",INDEX(DemoHistory[],$A832,MATCH($A$5,DemoHistory[#Headers],0)))</f>
        <v/>
      </c>
      <c r="D832" s="166" t="str">
        <f>IF($A832&gt;MIN($A$10,$A$2),"",IF(AND($A$12,$A$6=1,B832&lt;$A$7,$A$7&lt;=MAX(DemoHistory[Date])),$A$8,1))</f>
        <v/>
      </c>
      <c r="E832" s="166" t="str">
        <f t="shared" si="36"/>
        <v/>
      </c>
      <c r="F832" s="166" t="str">
        <f>IF($A832&gt;MIN($A$10,$A$2),"",IF($A832&lt;50,"n.a.",IF(COUNT(INDEX(StockDaily[Adjusted close],MAX(1,$A832-50+1)):E832)=50,AVERAGE(INDEX(StockDaily[Adjusted close],MAX(1,$A832-50+1)):E832),"n.a.")))</f>
        <v/>
      </c>
      <c r="G832" s="166" t="str">
        <f>IF($A832&gt;MIN($A$10,$A$2),"",IF($A832&lt;200,"n.a.",IF(COUNT(INDEX(StockDaily[Adjusted close],MAX(1,$A832-200+1)):E832)=200,AVERAGE(INDEX(StockDaily[Adjusted close],MAX(1,$A832-200+1)):E832),"n.a.")))</f>
        <v/>
      </c>
      <c r="H832" s="136" t="str">
        <f>IF($A832&gt;MIN($A$10,$A$2),"",IF($A$5="","Choose stock",IF(NOT($A$12),"Check split rule",IF(NOT(ISNUMBER(B832)),"Invalid date",IF(OR(B832&lt;=0,B832&lt;&gt;INT(B832)),"Invalid date",IF(COUNTIFS(DemoHistory[Date],B832)&lt;&gt;1,"Duplicate date",IF(AND($A832&gt;1,B832&lt;=B831),"Dates out of order",IF(NOT(ISNUMBER(C832)),"Missing price",IF(C832&lt;=0,"Nonpositive price","OK")))))))))</f>
        <v/>
      </c>
      <c r="I832" s="136"/>
      <c r="J832" s="136"/>
      <c r="K832" s="136"/>
      <c r="L832" s="136"/>
      <c r="M832" s="136"/>
      <c r="N832" s="136" t="e">
        <f t="shared" si="37"/>
        <v>#N/A</v>
      </c>
      <c r="O832" s="136" t="e">
        <f t="shared" si="38"/>
        <v>#N/A</v>
      </c>
    </row>
    <row r="833" spans="1:15" ht="22.05" customHeight="1" x14ac:dyDescent="0.3">
      <c r="A833" s="136">
        <v>789</v>
      </c>
      <c r="B833" s="165" t="str">
        <f>IF($A833&gt;MIN($A$10,$A$2),"",INDEX(DemoHistory[Date],$A833))</f>
        <v/>
      </c>
      <c r="C833" s="166" t="str">
        <f>IF(OR($A833&gt;MIN($A$10,$A$2),$A$5=""),"",INDEX(DemoHistory[],$A833,MATCH($A$5,DemoHistory[#Headers],0)))</f>
        <v/>
      </c>
      <c r="D833" s="166" t="str">
        <f>IF($A833&gt;MIN($A$10,$A$2),"",IF(AND($A$12,$A$6=1,B833&lt;$A$7,$A$7&lt;=MAX(DemoHistory[Date])),$A$8,1))</f>
        <v/>
      </c>
      <c r="E833" s="166" t="str">
        <f t="shared" si="36"/>
        <v/>
      </c>
      <c r="F833" s="166" t="str">
        <f>IF($A833&gt;MIN($A$10,$A$2),"",IF($A833&lt;50,"n.a.",IF(COUNT(INDEX(StockDaily[Adjusted close],MAX(1,$A833-50+1)):E833)=50,AVERAGE(INDEX(StockDaily[Adjusted close],MAX(1,$A833-50+1)):E833),"n.a.")))</f>
        <v/>
      </c>
      <c r="G833" s="166" t="str">
        <f>IF($A833&gt;MIN($A$10,$A$2),"",IF($A833&lt;200,"n.a.",IF(COUNT(INDEX(StockDaily[Adjusted close],MAX(1,$A833-200+1)):E833)=200,AVERAGE(INDEX(StockDaily[Adjusted close],MAX(1,$A833-200+1)):E833),"n.a.")))</f>
        <v/>
      </c>
      <c r="H833" s="136" t="str">
        <f>IF($A833&gt;MIN($A$10,$A$2),"",IF($A$5="","Choose stock",IF(NOT($A$12),"Check split rule",IF(NOT(ISNUMBER(B833)),"Invalid date",IF(OR(B833&lt;=0,B833&lt;&gt;INT(B833)),"Invalid date",IF(COUNTIFS(DemoHistory[Date],B833)&lt;&gt;1,"Duplicate date",IF(AND($A833&gt;1,B833&lt;=B832),"Dates out of order",IF(NOT(ISNUMBER(C833)),"Missing price",IF(C833&lt;=0,"Nonpositive price","OK")))))))))</f>
        <v/>
      </c>
      <c r="I833" s="136"/>
      <c r="J833" s="136"/>
      <c r="K833" s="136"/>
      <c r="L833" s="136"/>
      <c r="M833" s="136"/>
      <c r="N833" s="136" t="e">
        <f t="shared" si="37"/>
        <v>#N/A</v>
      </c>
      <c r="O833" s="136" t="e">
        <f t="shared" si="38"/>
        <v>#N/A</v>
      </c>
    </row>
    <row r="834" spans="1:15" ht="22.05" customHeight="1" x14ac:dyDescent="0.3">
      <c r="A834" s="136">
        <v>790</v>
      </c>
      <c r="B834" s="165" t="str">
        <f>IF($A834&gt;MIN($A$10,$A$2),"",INDEX(DemoHistory[Date],$A834))</f>
        <v/>
      </c>
      <c r="C834" s="166" t="str">
        <f>IF(OR($A834&gt;MIN($A$10,$A$2),$A$5=""),"",INDEX(DemoHistory[],$A834,MATCH($A$5,DemoHistory[#Headers],0)))</f>
        <v/>
      </c>
      <c r="D834" s="166" t="str">
        <f>IF($A834&gt;MIN($A$10,$A$2),"",IF(AND($A$12,$A$6=1,B834&lt;$A$7,$A$7&lt;=MAX(DemoHistory[Date])),$A$8,1))</f>
        <v/>
      </c>
      <c r="E834" s="166" t="str">
        <f t="shared" si="36"/>
        <v/>
      </c>
      <c r="F834" s="166" t="str">
        <f>IF($A834&gt;MIN($A$10,$A$2),"",IF($A834&lt;50,"n.a.",IF(COUNT(INDEX(StockDaily[Adjusted close],MAX(1,$A834-50+1)):E834)=50,AVERAGE(INDEX(StockDaily[Adjusted close],MAX(1,$A834-50+1)):E834),"n.a.")))</f>
        <v/>
      </c>
      <c r="G834" s="166" t="str">
        <f>IF($A834&gt;MIN($A$10,$A$2),"",IF($A834&lt;200,"n.a.",IF(COUNT(INDEX(StockDaily[Adjusted close],MAX(1,$A834-200+1)):E834)=200,AVERAGE(INDEX(StockDaily[Adjusted close],MAX(1,$A834-200+1)):E834),"n.a.")))</f>
        <v/>
      </c>
      <c r="H834" s="136" t="str">
        <f>IF($A834&gt;MIN($A$10,$A$2),"",IF($A$5="","Choose stock",IF(NOT($A$12),"Check split rule",IF(NOT(ISNUMBER(B834)),"Invalid date",IF(OR(B834&lt;=0,B834&lt;&gt;INT(B834)),"Invalid date",IF(COUNTIFS(DemoHistory[Date],B834)&lt;&gt;1,"Duplicate date",IF(AND($A834&gt;1,B834&lt;=B833),"Dates out of order",IF(NOT(ISNUMBER(C834)),"Missing price",IF(C834&lt;=0,"Nonpositive price","OK")))))))))</f>
        <v/>
      </c>
      <c r="I834" s="136"/>
      <c r="J834" s="136"/>
      <c r="K834" s="136"/>
      <c r="L834" s="136"/>
      <c r="M834" s="136"/>
      <c r="N834" s="136" t="e">
        <f t="shared" si="37"/>
        <v>#N/A</v>
      </c>
      <c r="O834" s="136" t="e">
        <f t="shared" si="38"/>
        <v>#N/A</v>
      </c>
    </row>
    <row r="835" spans="1:15" ht="22.05" customHeight="1" x14ac:dyDescent="0.3">
      <c r="A835" s="136">
        <v>791</v>
      </c>
      <c r="B835" s="165" t="str">
        <f>IF($A835&gt;MIN($A$10,$A$2),"",INDEX(DemoHistory[Date],$A835))</f>
        <v/>
      </c>
      <c r="C835" s="166" t="str">
        <f>IF(OR($A835&gt;MIN($A$10,$A$2),$A$5=""),"",INDEX(DemoHistory[],$A835,MATCH($A$5,DemoHistory[#Headers],0)))</f>
        <v/>
      </c>
      <c r="D835" s="166" t="str">
        <f>IF($A835&gt;MIN($A$10,$A$2),"",IF(AND($A$12,$A$6=1,B835&lt;$A$7,$A$7&lt;=MAX(DemoHistory[Date])),$A$8,1))</f>
        <v/>
      </c>
      <c r="E835" s="166" t="str">
        <f t="shared" si="36"/>
        <v/>
      </c>
      <c r="F835" s="166" t="str">
        <f>IF($A835&gt;MIN($A$10,$A$2),"",IF($A835&lt;50,"n.a.",IF(COUNT(INDEX(StockDaily[Adjusted close],MAX(1,$A835-50+1)):E835)=50,AVERAGE(INDEX(StockDaily[Adjusted close],MAX(1,$A835-50+1)):E835),"n.a.")))</f>
        <v/>
      </c>
      <c r="G835" s="166" t="str">
        <f>IF($A835&gt;MIN($A$10,$A$2),"",IF($A835&lt;200,"n.a.",IF(COUNT(INDEX(StockDaily[Adjusted close],MAX(1,$A835-200+1)):E835)=200,AVERAGE(INDEX(StockDaily[Adjusted close],MAX(1,$A835-200+1)):E835),"n.a.")))</f>
        <v/>
      </c>
      <c r="H835" s="136" t="str">
        <f>IF($A835&gt;MIN($A$10,$A$2),"",IF($A$5="","Choose stock",IF(NOT($A$12),"Check split rule",IF(NOT(ISNUMBER(B835)),"Invalid date",IF(OR(B835&lt;=0,B835&lt;&gt;INT(B835)),"Invalid date",IF(COUNTIFS(DemoHistory[Date],B835)&lt;&gt;1,"Duplicate date",IF(AND($A835&gt;1,B835&lt;=B834),"Dates out of order",IF(NOT(ISNUMBER(C835)),"Missing price",IF(C835&lt;=0,"Nonpositive price","OK")))))))))</f>
        <v/>
      </c>
      <c r="I835" s="136"/>
      <c r="J835" s="136"/>
      <c r="K835" s="136"/>
      <c r="L835" s="136"/>
      <c r="M835" s="136"/>
      <c r="N835" s="136" t="e">
        <f t="shared" si="37"/>
        <v>#N/A</v>
      </c>
      <c r="O835" s="136" t="e">
        <f t="shared" si="38"/>
        <v>#N/A</v>
      </c>
    </row>
    <row r="836" spans="1:15" ht="22.05" customHeight="1" x14ac:dyDescent="0.3">
      <c r="A836" s="136">
        <v>792</v>
      </c>
      <c r="B836" s="165" t="str">
        <f>IF($A836&gt;MIN($A$10,$A$2),"",INDEX(DemoHistory[Date],$A836))</f>
        <v/>
      </c>
      <c r="C836" s="166" t="str">
        <f>IF(OR($A836&gt;MIN($A$10,$A$2),$A$5=""),"",INDEX(DemoHistory[],$A836,MATCH($A$5,DemoHistory[#Headers],0)))</f>
        <v/>
      </c>
      <c r="D836" s="166" t="str">
        <f>IF($A836&gt;MIN($A$10,$A$2),"",IF(AND($A$12,$A$6=1,B836&lt;$A$7,$A$7&lt;=MAX(DemoHistory[Date])),$A$8,1))</f>
        <v/>
      </c>
      <c r="E836" s="166" t="str">
        <f t="shared" si="36"/>
        <v/>
      </c>
      <c r="F836" s="166" t="str">
        <f>IF($A836&gt;MIN($A$10,$A$2),"",IF($A836&lt;50,"n.a.",IF(COUNT(INDEX(StockDaily[Adjusted close],MAX(1,$A836-50+1)):E836)=50,AVERAGE(INDEX(StockDaily[Adjusted close],MAX(1,$A836-50+1)):E836),"n.a.")))</f>
        <v/>
      </c>
      <c r="G836" s="166" t="str">
        <f>IF($A836&gt;MIN($A$10,$A$2),"",IF($A836&lt;200,"n.a.",IF(COUNT(INDEX(StockDaily[Adjusted close],MAX(1,$A836-200+1)):E836)=200,AVERAGE(INDEX(StockDaily[Adjusted close],MAX(1,$A836-200+1)):E836),"n.a.")))</f>
        <v/>
      </c>
      <c r="H836" s="136" t="str">
        <f>IF($A836&gt;MIN($A$10,$A$2),"",IF($A$5="","Choose stock",IF(NOT($A$12),"Check split rule",IF(NOT(ISNUMBER(B836)),"Invalid date",IF(OR(B836&lt;=0,B836&lt;&gt;INT(B836)),"Invalid date",IF(COUNTIFS(DemoHistory[Date],B836)&lt;&gt;1,"Duplicate date",IF(AND($A836&gt;1,B836&lt;=B835),"Dates out of order",IF(NOT(ISNUMBER(C836)),"Missing price",IF(C836&lt;=0,"Nonpositive price","OK")))))))))</f>
        <v/>
      </c>
      <c r="I836" s="136"/>
      <c r="J836" s="136"/>
      <c r="K836" s="136"/>
      <c r="L836" s="136"/>
      <c r="M836" s="136"/>
      <c r="N836" s="136" t="e">
        <f t="shared" si="37"/>
        <v>#N/A</v>
      </c>
      <c r="O836" s="136" t="e">
        <f t="shared" si="38"/>
        <v>#N/A</v>
      </c>
    </row>
    <row r="837" spans="1:15" ht="22.05" customHeight="1" x14ac:dyDescent="0.3">
      <c r="A837" s="136">
        <v>793</v>
      </c>
      <c r="B837" s="165" t="str">
        <f>IF($A837&gt;MIN($A$10,$A$2),"",INDEX(DemoHistory[Date],$A837))</f>
        <v/>
      </c>
      <c r="C837" s="166" t="str">
        <f>IF(OR($A837&gt;MIN($A$10,$A$2),$A$5=""),"",INDEX(DemoHistory[],$A837,MATCH($A$5,DemoHistory[#Headers],0)))</f>
        <v/>
      </c>
      <c r="D837" s="166" t="str">
        <f>IF($A837&gt;MIN($A$10,$A$2),"",IF(AND($A$12,$A$6=1,B837&lt;$A$7,$A$7&lt;=MAX(DemoHistory[Date])),$A$8,1))</f>
        <v/>
      </c>
      <c r="E837" s="166" t="str">
        <f t="shared" si="36"/>
        <v/>
      </c>
      <c r="F837" s="166" t="str">
        <f>IF($A837&gt;MIN($A$10,$A$2),"",IF($A837&lt;50,"n.a.",IF(COUNT(INDEX(StockDaily[Adjusted close],MAX(1,$A837-50+1)):E837)=50,AVERAGE(INDEX(StockDaily[Adjusted close],MAX(1,$A837-50+1)):E837),"n.a.")))</f>
        <v/>
      </c>
      <c r="G837" s="166" t="str">
        <f>IF($A837&gt;MIN($A$10,$A$2),"",IF($A837&lt;200,"n.a.",IF(COUNT(INDEX(StockDaily[Adjusted close],MAX(1,$A837-200+1)):E837)=200,AVERAGE(INDEX(StockDaily[Adjusted close],MAX(1,$A837-200+1)):E837),"n.a.")))</f>
        <v/>
      </c>
      <c r="H837" s="136" t="str">
        <f>IF($A837&gt;MIN($A$10,$A$2),"",IF($A$5="","Choose stock",IF(NOT($A$12),"Check split rule",IF(NOT(ISNUMBER(B837)),"Invalid date",IF(OR(B837&lt;=0,B837&lt;&gt;INT(B837)),"Invalid date",IF(COUNTIFS(DemoHistory[Date],B837)&lt;&gt;1,"Duplicate date",IF(AND($A837&gt;1,B837&lt;=B836),"Dates out of order",IF(NOT(ISNUMBER(C837)),"Missing price",IF(C837&lt;=0,"Nonpositive price","OK")))))))))</f>
        <v/>
      </c>
      <c r="I837" s="136"/>
      <c r="J837" s="136"/>
      <c r="K837" s="136"/>
      <c r="L837" s="136"/>
      <c r="M837" s="136"/>
      <c r="N837" s="136" t="e">
        <f t="shared" si="37"/>
        <v>#N/A</v>
      </c>
      <c r="O837" s="136" t="e">
        <f t="shared" si="38"/>
        <v>#N/A</v>
      </c>
    </row>
    <row r="838" spans="1:15" ht="22.05" customHeight="1" x14ac:dyDescent="0.3">
      <c r="A838" s="136">
        <v>794</v>
      </c>
      <c r="B838" s="165" t="str">
        <f>IF($A838&gt;MIN($A$10,$A$2),"",INDEX(DemoHistory[Date],$A838))</f>
        <v/>
      </c>
      <c r="C838" s="166" t="str">
        <f>IF(OR($A838&gt;MIN($A$10,$A$2),$A$5=""),"",INDEX(DemoHistory[],$A838,MATCH($A$5,DemoHistory[#Headers],0)))</f>
        <v/>
      </c>
      <c r="D838" s="166" t="str">
        <f>IF($A838&gt;MIN($A$10,$A$2),"",IF(AND($A$12,$A$6=1,B838&lt;$A$7,$A$7&lt;=MAX(DemoHistory[Date])),$A$8,1))</f>
        <v/>
      </c>
      <c r="E838" s="166" t="str">
        <f t="shared" si="36"/>
        <v/>
      </c>
      <c r="F838" s="166" t="str">
        <f>IF($A838&gt;MIN($A$10,$A$2),"",IF($A838&lt;50,"n.a.",IF(COUNT(INDEX(StockDaily[Adjusted close],MAX(1,$A838-50+1)):E838)=50,AVERAGE(INDEX(StockDaily[Adjusted close],MAX(1,$A838-50+1)):E838),"n.a.")))</f>
        <v/>
      </c>
      <c r="G838" s="166" t="str">
        <f>IF($A838&gt;MIN($A$10,$A$2),"",IF($A838&lt;200,"n.a.",IF(COUNT(INDEX(StockDaily[Adjusted close],MAX(1,$A838-200+1)):E838)=200,AVERAGE(INDEX(StockDaily[Adjusted close],MAX(1,$A838-200+1)):E838),"n.a.")))</f>
        <v/>
      </c>
      <c r="H838" s="136" t="str">
        <f>IF($A838&gt;MIN($A$10,$A$2),"",IF($A$5="","Choose stock",IF(NOT($A$12),"Check split rule",IF(NOT(ISNUMBER(B838)),"Invalid date",IF(OR(B838&lt;=0,B838&lt;&gt;INT(B838)),"Invalid date",IF(COUNTIFS(DemoHistory[Date],B838)&lt;&gt;1,"Duplicate date",IF(AND($A838&gt;1,B838&lt;=B837),"Dates out of order",IF(NOT(ISNUMBER(C838)),"Missing price",IF(C838&lt;=0,"Nonpositive price","OK")))))))))</f>
        <v/>
      </c>
      <c r="I838" s="136"/>
      <c r="J838" s="136"/>
      <c r="K838" s="136"/>
      <c r="L838" s="136"/>
      <c r="M838" s="136"/>
      <c r="N838" s="136" t="e">
        <f t="shared" si="37"/>
        <v>#N/A</v>
      </c>
      <c r="O838" s="136" t="e">
        <f t="shared" si="38"/>
        <v>#N/A</v>
      </c>
    </row>
    <row r="839" spans="1:15" ht="22.05" customHeight="1" x14ac:dyDescent="0.3">
      <c r="A839" s="136">
        <v>795</v>
      </c>
      <c r="B839" s="165" t="str">
        <f>IF($A839&gt;MIN($A$10,$A$2),"",INDEX(DemoHistory[Date],$A839))</f>
        <v/>
      </c>
      <c r="C839" s="166" t="str">
        <f>IF(OR($A839&gt;MIN($A$10,$A$2),$A$5=""),"",INDEX(DemoHistory[],$A839,MATCH($A$5,DemoHistory[#Headers],0)))</f>
        <v/>
      </c>
      <c r="D839" s="166" t="str">
        <f>IF($A839&gt;MIN($A$10,$A$2),"",IF(AND($A$12,$A$6=1,B839&lt;$A$7,$A$7&lt;=MAX(DemoHistory[Date])),$A$8,1))</f>
        <v/>
      </c>
      <c r="E839" s="166" t="str">
        <f t="shared" si="36"/>
        <v/>
      </c>
      <c r="F839" s="166" t="str">
        <f>IF($A839&gt;MIN($A$10,$A$2),"",IF($A839&lt;50,"n.a.",IF(COUNT(INDEX(StockDaily[Adjusted close],MAX(1,$A839-50+1)):E839)=50,AVERAGE(INDEX(StockDaily[Adjusted close],MAX(1,$A839-50+1)):E839),"n.a.")))</f>
        <v/>
      </c>
      <c r="G839" s="166" t="str">
        <f>IF($A839&gt;MIN($A$10,$A$2),"",IF($A839&lt;200,"n.a.",IF(COUNT(INDEX(StockDaily[Adjusted close],MAX(1,$A839-200+1)):E839)=200,AVERAGE(INDEX(StockDaily[Adjusted close],MAX(1,$A839-200+1)):E839),"n.a.")))</f>
        <v/>
      </c>
      <c r="H839" s="136" t="str">
        <f>IF($A839&gt;MIN($A$10,$A$2),"",IF($A$5="","Choose stock",IF(NOT($A$12),"Check split rule",IF(NOT(ISNUMBER(B839)),"Invalid date",IF(OR(B839&lt;=0,B839&lt;&gt;INT(B839)),"Invalid date",IF(COUNTIFS(DemoHistory[Date],B839)&lt;&gt;1,"Duplicate date",IF(AND($A839&gt;1,B839&lt;=B838),"Dates out of order",IF(NOT(ISNUMBER(C839)),"Missing price",IF(C839&lt;=0,"Nonpositive price","OK")))))))))</f>
        <v/>
      </c>
      <c r="I839" s="136"/>
      <c r="J839" s="136"/>
      <c r="K839" s="136"/>
      <c r="L839" s="136"/>
      <c r="M839" s="136"/>
      <c r="N839" s="136" t="e">
        <f t="shared" si="37"/>
        <v>#N/A</v>
      </c>
      <c r="O839" s="136" t="e">
        <f t="shared" si="38"/>
        <v>#N/A</v>
      </c>
    </row>
    <row r="840" spans="1:15" ht="22.05" customHeight="1" x14ac:dyDescent="0.3">
      <c r="A840" s="136">
        <v>796</v>
      </c>
      <c r="B840" s="165" t="str">
        <f>IF($A840&gt;MIN($A$10,$A$2),"",INDEX(DemoHistory[Date],$A840))</f>
        <v/>
      </c>
      <c r="C840" s="166" t="str">
        <f>IF(OR($A840&gt;MIN($A$10,$A$2),$A$5=""),"",INDEX(DemoHistory[],$A840,MATCH($A$5,DemoHistory[#Headers],0)))</f>
        <v/>
      </c>
      <c r="D840" s="166" t="str">
        <f>IF($A840&gt;MIN($A$10,$A$2),"",IF(AND($A$12,$A$6=1,B840&lt;$A$7,$A$7&lt;=MAX(DemoHistory[Date])),$A$8,1))</f>
        <v/>
      </c>
      <c r="E840" s="166" t="str">
        <f t="shared" si="36"/>
        <v/>
      </c>
      <c r="F840" s="166" t="str">
        <f>IF($A840&gt;MIN($A$10,$A$2),"",IF($A840&lt;50,"n.a.",IF(COUNT(INDEX(StockDaily[Adjusted close],MAX(1,$A840-50+1)):E840)=50,AVERAGE(INDEX(StockDaily[Adjusted close],MAX(1,$A840-50+1)):E840),"n.a.")))</f>
        <v/>
      </c>
      <c r="G840" s="166" t="str">
        <f>IF($A840&gt;MIN($A$10,$A$2),"",IF($A840&lt;200,"n.a.",IF(COUNT(INDEX(StockDaily[Adjusted close],MAX(1,$A840-200+1)):E840)=200,AVERAGE(INDEX(StockDaily[Adjusted close],MAX(1,$A840-200+1)):E840),"n.a.")))</f>
        <v/>
      </c>
      <c r="H840" s="136" t="str">
        <f>IF($A840&gt;MIN($A$10,$A$2),"",IF($A$5="","Choose stock",IF(NOT($A$12),"Check split rule",IF(NOT(ISNUMBER(B840)),"Invalid date",IF(OR(B840&lt;=0,B840&lt;&gt;INT(B840)),"Invalid date",IF(COUNTIFS(DemoHistory[Date],B840)&lt;&gt;1,"Duplicate date",IF(AND($A840&gt;1,B840&lt;=B839),"Dates out of order",IF(NOT(ISNUMBER(C840)),"Missing price",IF(C840&lt;=0,"Nonpositive price","OK")))))))))</f>
        <v/>
      </c>
      <c r="I840" s="136"/>
      <c r="J840" s="136"/>
      <c r="K840" s="136"/>
      <c r="L840" s="136"/>
      <c r="M840" s="136"/>
      <c r="N840" s="136" t="e">
        <f t="shared" si="37"/>
        <v>#N/A</v>
      </c>
      <c r="O840" s="136" t="e">
        <f t="shared" si="38"/>
        <v>#N/A</v>
      </c>
    </row>
    <row r="841" spans="1:15" ht="22.05" customHeight="1" x14ac:dyDescent="0.3">
      <c r="A841" s="136">
        <v>797</v>
      </c>
      <c r="B841" s="165" t="str">
        <f>IF($A841&gt;MIN($A$10,$A$2),"",INDEX(DemoHistory[Date],$A841))</f>
        <v/>
      </c>
      <c r="C841" s="166" t="str">
        <f>IF(OR($A841&gt;MIN($A$10,$A$2),$A$5=""),"",INDEX(DemoHistory[],$A841,MATCH($A$5,DemoHistory[#Headers],0)))</f>
        <v/>
      </c>
      <c r="D841" s="166" t="str">
        <f>IF($A841&gt;MIN($A$10,$A$2),"",IF(AND($A$12,$A$6=1,B841&lt;$A$7,$A$7&lt;=MAX(DemoHistory[Date])),$A$8,1))</f>
        <v/>
      </c>
      <c r="E841" s="166" t="str">
        <f t="shared" si="36"/>
        <v/>
      </c>
      <c r="F841" s="166" t="str">
        <f>IF($A841&gt;MIN($A$10,$A$2),"",IF($A841&lt;50,"n.a.",IF(COUNT(INDEX(StockDaily[Adjusted close],MAX(1,$A841-50+1)):E841)=50,AVERAGE(INDEX(StockDaily[Adjusted close],MAX(1,$A841-50+1)):E841),"n.a.")))</f>
        <v/>
      </c>
      <c r="G841" s="166" t="str">
        <f>IF($A841&gt;MIN($A$10,$A$2),"",IF($A841&lt;200,"n.a.",IF(COUNT(INDEX(StockDaily[Adjusted close],MAX(1,$A841-200+1)):E841)=200,AVERAGE(INDEX(StockDaily[Adjusted close],MAX(1,$A841-200+1)):E841),"n.a.")))</f>
        <v/>
      </c>
      <c r="H841" s="136" t="str">
        <f>IF($A841&gt;MIN($A$10,$A$2),"",IF($A$5="","Choose stock",IF(NOT($A$12),"Check split rule",IF(NOT(ISNUMBER(B841)),"Invalid date",IF(OR(B841&lt;=0,B841&lt;&gt;INT(B841)),"Invalid date",IF(COUNTIFS(DemoHistory[Date],B841)&lt;&gt;1,"Duplicate date",IF(AND($A841&gt;1,B841&lt;=B840),"Dates out of order",IF(NOT(ISNUMBER(C841)),"Missing price",IF(C841&lt;=0,"Nonpositive price","OK")))))))))</f>
        <v/>
      </c>
      <c r="I841" s="136"/>
      <c r="J841" s="136"/>
      <c r="K841" s="136"/>
      <c r="L841" s="136"/>
      <c r="M841" s="136"/>
      <c r="N841" s="136" t="e">
        <f t="shared" si="37"/>
        <v>#N/A</v>
      </c>
      <c r="O841" s="136" t="e">
        <f t="shared" si="38"/>
        <v>#N/A</v>
      </c>
    </row>
    <row r="842" spans="1:15" ht="22.05" customHeight="1" x14ac:dyDescent="0.3">
      <c r="A842" s="136">
        <v>798</v>
      </c>
      <c r="B842" s="165" t="str">
        <f>IF($A842&gt;MIN($A$10,$A$2),"",INDEX(DemoHistory[Date],$A842))</f>
        <v/>
      </c>
      <c r="C842" s="166" t="str">
        <f>IF(OR($A842&gt;MIN($A$10,$A$2),$A$5=""),"",INDEX(DemoHistory[],$A842,MATCH($A$5,DemoHistory[#Headers],0)))</f>
        <v/>
      </c>
      <c r="D842" s="166" t="str">
        <f>IF($A842&gt;MIN($A$10,$A$2),"",IF(AND($A$12,$A$6=1,B842&lt;$A$7,$A$7&lt;=MAX(DemoHistory[Date])),$A$8,1))</f>
        <v/>
      </c>
      <c r="E842" s="166" t="str">
        <f t="shared" si="36"/>
        <v/>
      </c>
      <c r="F842" s="166" t="str">
        <f>IF($A842&gt;MIN($A$10,$A$2),"",IF($A842&lt;50,"n.a.",IF(COUNT(INDEX(StockDaily[Adjusted close],MAX(1,$A842-50+1)):E842)=50,AVERAGE(INDEX(StockDaily[Adjusted close],MAX(1,$A842-50+1)):E842),"n.a.")))</f>
        <v/>
      </c>
      <c r="G842" s="166" t="str">
        <f>IF($A842&gt;MIN($A$10,$A$2),"",IF($A842&lt;200,"n.a.",IF(COUNT(INDEX(StockDaily[Adjusted close],MAX(1,$A842-200+1)):E842)=200,AVERAGE(INDEX(StockDaily[Adjusted close],MAX(1,$A842-200+1)):E842),"n.a.")))</f>
        <v/>
      </c>
      <c r="H842" s="136" t="str">
        <f>IF($A842&gt;MIN($A$10,$A$2),"",IF($A$5="","Choose stock",IF(NOT($A$12),"Check split rule",IF(NOT(ISNUMBER(B842)),"Invalid date",IF(OR(B842&lt;=0,B842&lt;&gt;INT(B842)),"Invalid date",IF(COUNTIFS(DemoHistory[Date],B842)&lt;&gt;1,"Duplicate date",IF(AND($A842&gt;1,B842&lt;=B841),"Dates out of order",IF(NOT(ISNUMBER(C842)),"Missing price",IF(C842&lt;=0,"Nonpositive price","OK")))))))))</f>
        <v/>
      </c>
      <c r="I842" s="136"/>
      <c r="J842" s="136"/>
      <c r="K842" s="136"/>
      <c r="L842" s="136"/>
      <c r="M842" s="136"/>
      <c r="N842" s="136" t="e">
        <f t="shared" si="37"/>
        <v>#N/A</v>
      </c>
      <c r="O842" s="136" t="e">
        <f t="shared" si="38"/>
        <v>#N/A</v>
      </c>
    </row>
    <row r="843" spans="1:15" ht="22.05" customHeight="1" x14ac:dyDescent="0.3">
      <c r="A843" s="136">
        <v>799</v>
      </c>
      <c r="B843" s="165" t="str">
        <f>IF($A843&gt;MIN($A$10,$A$2),"",INDEX(DemoHistory[Date],$A843))</f>
        <v/>
      </c>
      <c r="C843" s="166" t="str">
        <f>IF(OR($A843&gt;MIN($A$10,$A$2),$A$5=""),"",INDEX(DemoHistory[],$A843,MATCH($A$5,DemoHistory[#Headers],0)))</f>
        <v/>
      </c>
      <c r="D843" s="166" t="str">
        <f>IF($A843&gt;MIN($A$10,$A$2),"",IF(AND($A$12,$A$6=1,B843&lt;$A$7,$A$7&lt;=MAX(DemoHistory[Date])),$A$8,1))</f>
        <v/>
      </c>
      <c r="E843" s="166" t="str">
        <f t="shared" si="36"/>
        <v/>
      </c>
      <c r="F843" s="166" t="str">
        <f>IF($A843&gt;MIN($A$10,$A$2),"",IF($A843&lt;50,"n.a.",IF(COUNT(INDEX(StockDaily[Adjusted close],MAX(1,$A843-50+1)):E843)=50,AVERAGE(INDEX(StockDaily[Adjusted close],MAX(1,$A843-50+1)):E843),"n.a.")))</f>
        <v/>
      </c>
      <c r="G843" s="166" t="str">
        <f>IF($A843&gt;MIN($A$10,$A$2),"",IF($A843&lt;200,"n.a.",IF(COUNT(INDEX(StockDaily[Adjusted close],MAX(1,$A843-200+1)):E843)=200,AVERAGE(INDEX(StockDaily[Adjusted close],MAX(1,$A843-200+1)):E843),"n.a.")))</f>
        <v/>
      </c>
      <c r="H843" s="136" t="str">
        <f>IF($A843&gt;MIN($A$10,$A$2),"",IF($A$5="","Choose stock",IF(NOT($A$12),"Check split rule",IF(NOT(ISNUMBER(B843)),"Invalid date",IF(OR(B843&lt;=0,B843&lt;&gt;INT(B843)),"Invalid date",IF(COUNTIFS(DemoHistory[Date],B843)&lt;&gt;1,"Duplicate date",IF(AND($A843&gt;1,B843&lt;=B842),"Dates out of order",IF(NOT(ISNUMBER(C843)),"Missing price",IF(C843&lt;=0,"Nonpositive price","OK")))))))))</f>
        <v/>
      </c>
      <c r="I843" s="136"/>
      <c r="J843" s="136"/>
      <c r="K843" s="136"/>
      <c r="L843" s="136"/>
      <c r="M843" s="136"/>
      <c r="N843" s="136" t="e">
        <f t="shared" si="37"/>
        <v>#N/A</v>
      </c>
      <c r="O843" s="136" t="e">
        <f t="shared" si="38"/>
        <v>#N/A</v>
      </c>
    </row>
    <row r="844" spans="1:15" ht="22.05" customHeight="1" x14ac:dyDescent="0.3">
      <c r="A844" s="136">
        <v>800</v>
      </c>
      <c r="B844" s="165" t="str">
        <f>IF($A844&gt;MIN($A$10,$A$2),"",INDEX(DemoHistory[Date],$A844))</f>
        <v/>
      </c>
      <c r="C844" s="166" t="str">
        <f>IF(OR($A844&gt;MIN($A$10,$A$2),$A$5=""),"",INDEX(DemoHistory[],$A844,MATCH($A$5,DemoHistory[#Headers],0)))</f>
        <v/>
      </c>
      <c r="D844" s="166" t="str">
        <f>IF($A844&gt;MIN($A$10,$A$2),"",IF(AND($A$12,$A$6=1,B844&lt;$A$7,$A$7&lt;=MAX(DemoHistory[Date])),$A$8,1))</f>
        <v/>
      </c>
      <c r="E844" s="166" t="str">
        <f t="shared" si="36"/>
        <v/>
      </c>
      <c r="F844" s="166" t="str">
        <f>IF($A844&gt;MIN($A$10,$A$2),"",IF($A844&lt;50,"n.a.",IF(COUNT(INDEX(StockDaily[Adjusted close],MAX(1,$A844-50+1)):E844)=50,AVERAGE(INDEX(StockDaily[Adjusted close],MAX(1,$A844-50+1)):E844),"n.a.")))</f>
        <v/>
      </c>
      <c r="G844" s="166" t="str">
        <f>IF($A844&gt;MIN($A$10,$A$2),"",IF($A844&lt;200,"n.a.",IF(COUNT(INDEX(StockDaily[Adjusted close],MAX(1,$A844-200+1)):E844)=200,AVERAGE(INDEX(StockDaily[Adjusted close],MAX(1,$A844-200+1)):E844),"n.a.")))</f>
        <v/>
      </c>
      <c r="H844" s="136" t="str">
        <f>IF($A844&gt;MIN($A$10,$A$2),"",IF($A$5="","Choose stock",IF(NOT($A$12),"Check split rule",IF(NOT(ISNUMBER(B844)),"Invalid date",IF(OR(B844&lt;=0,B844&lt;&gt;INT(B844)),"Invalid date",IF(COUNTIFS(DemoHistory[Date],B844)&lt;&gt;1,"Duplicate date",IF(AND($A844&gt;1,B844&lt;=B843),"Dates out of order",IF(NOT(ISNUMBER(C844)),"Missing price",IF(C844&lt;=0,"Nonpositive price","OK")))))))))</f>
        <v/>
      </c>
      <c r="I844" s="136"/>
      <c r="J844" s="136"/>
      <c r="K844" s="136"/>
      <c r="L844" s="136"/>
      <c r="M844" s="136"/>
      <c r="N844" s="136" t="e">
        <f t="shared" si="37"/>
        <v>#N/A</v>
      </c>
      <c r="O844" s="136" t="e">
        <f t="shared" si="38"/>
        <v>#N/A</v>
      </c>
    </row>
    <row r="845" spans="1:15" ht="22.05" customHeight="1" x14ac:dyDescent="0.3">
      <c r="A845" s="136">
        <v>801</v>
      </c>
      <c r="B845" s="165" t="str">
        <f>IF($A845&gt;MIN($A$10,$A$2),"",INDEX(DemoHistory[Date],$A845))</f>
        <v/>
      </c>
      <c r="C845" s="166" t="str">
        <f>IF(OR($A845&gt;MIN($A$10,$A$2),$A$5=""),"",INDEX(DemoHistory[],$A845,MATCH($A$5,DemoHistory[#Headers],0)))</f>
        <v/>
      </c>
      <c r="D845" s="166" t="str">
        <f>IF($A845&gt;MIN($A$10,$A$2),"",IF(AND($A$12,$A$6=1,B845&lt;$A$7,$A$7&lt;=MAX(DemoHistory[Date])),$A$8,1))</f>
        <v/>
      </c>
      <c r="E845" s="166" t="str">
        <f t="shared" si="36"/>
        <v/>
      </c>
      <c r="F845" s="166" t="str">
        <f>IF($A845&gt;MIN($A$10,$A$2),"",IF($A845&lt;50,"n.a.",IF(COUNT(INDEX(StockDaily[Adjusted close],MAX(1,$A845-50+1)):E845)=50,AVERAGE(INDEX(StockDaily[Adjusted close],MAX(1,$A845-50+1)):E845),"n.a.")))</f>
        <v/>
      </c>
      <c r="G845" s="166" t="str">
        <f>IF($A845&gt;MIN($A$10,$A$2),"",IF($A845&lt;200,"n.a.",IF(COUNT(INDEX(StockDaily[Adjusted close],MAX(1,$A845-200+1)):E845)=200,AVERAGE(INDEX(StockDaily[Adjusted close],MAX(1,$A845-200+1)):E845),"n.a.")))</f>
        <v/>
      </c>
      <c r="H845" s="136" t="str">
        <f>IF($A845&gt;MIN($A$10,$A$2),"",IF($A$5="","Choose stock",IF(NOT($A$12),"Check split rule",IF(NOT(ISNUMBER(B845)),"Invalid date",IF(OR(B845&lt;=0,B845&lt;&gt;INT(B845)),"Invalid date",IF(COUNTIFS(DemoHistory[Date],B845)&lt;&gt;1,"Duplicate date",IF(AND($A845&gt;1,B845&lt;=B844),"Dates out of order",IF(NOT(ISNUMBER(C845)),"Missing price",IF(C845&lt;=0,"Nonpositive price","OK")))))))))</f>
        <v/>
      </c>
      <c r="I845" s="136"/>
      <c r="J845" s="136"/>
      <c r="K845" s="136"/>
      <c r="L845" s="136"/>
      <c r="M845" s="136"/>
      <c r="N845" s="136" t="e">
        <f t="shared" si="37"/>
        <v>#N/A</v>
      </c>
      <c r="O845" s="136" t="e">
        <f t="shared" si="38"/>
        <v>#N/A</v>
      </c>
    </row>
    <row r="846" spans="1:15" ht="22.05" customHeight="1" x14ac:dyDescent="0.3">
      <c r="A846" s="136">
        <v>802</v>
      </c>
      <c r="B846" s="165" t="str">
        <f>IF($A846&gt;MIN($A$10,$A$2),"",INDEX(DemoHistory[Date],$A846))</f>
        <v/>
      </c>
      <c r="C846" s="166" t="str">
        <f>IF(OR($A846&gt;MIN($A$10,$A$2),$A$5=""),"",INDEX(DemoHistory[],$A846,MATCH($A$5,DemoHistory[#Headers],0)))</f>
        <v/>
      </c>
      <c r="D846" s="166" t="str">
        <f>IF($A846&gt;MIN($A$10,$A$2),"",IF(AND($A$12,$A$6=1,B846&lt;$A$7,$A$7&lt;=MAX(DemoHistory[Date])),$A$8,1))</f>
        <v/>
      </c>
      <c r="E846" s="166" t="str">
        <f t="shared" si="36"/>
        <v/>
      </c>
      <c r="F846" s="166" t="str">
        <f>IF($A846&gt;MIN($A$10,$A$2),"",IF($A846&lt;50,"n.a.",IF(COUNT(INDEX(StockDaily[Adjusted close],MAX(1,$A846-50+1)):E846)=50,AVERAGE(INDEX(StockDaily[Adjusted close],MAX(1,$A846-50+1)):E846),"n.a.")))</f>
        <v/>
      </c>
      <c r="G846" s="166" t="str">
        <f>IF($A846&gt;MIN($A$10,$A$2),"",IF($A846&lt;200,"n.a.",IF(COUNT(INDEX(StockDaily[Adjusted close],MAX(1,$A846-200+1)):E846)=200,AVERAGE(INDEX(StockDaily[Adjusted close],MAX(1,$A846-200+1)):E846),"n.a.")))</f>
        <v/>
      </c>
      <c r="H846" s="136" t="str">
        <f>IF($A846&gt;MIN($A$10,$A$2),"",IF($A$5="","Choose stock",IF(NOT($A$12),"Check split rule",IF(NOT(ISNUMBER(B846)),"Invalid date",IF(OR(B846&lt;=0,B846&lt;&gt;INT(B846)),"Invalid date",IF(COUNTIFS(DemoHistory[Date],B846)&lt;&gt;1,"Duplicate date",IF(AND($A846&gt;1,B846&lt;=B845),"Dates out of order",IF(NOT(ISNUMBER(C846)),"Missing price",IF(C846&lt;=0,"Nonpositive price","OK")))))))))</f>
        <v/>
      </c>
      <c r="I846" s="136"/>
      <c r="J846" s="136"/>
      <c r="K846" s="136"/>
      <c r="L846" s="136"/>
      <c r="M846" s="136"/>
      <c r="N846" s="136" t="e">
        <f t="shared" si="37"/>
        <v>#N/A</v>
      </c>
      <c r="O846" s="136" t="e">
        <f t="shared" si="38"/>
        <v>#N/A</v>
      </c>
    </row>
    <row r="847" spans="1:15" ht="22.05" customHeight="1" x14ac:dyDescent="0.3">
      <c r="A847" s="136">
        <v>803</v>
      </c>
      <c r="B847" s="165" t="str">
        <f>IF($A847&gt;MIN($A$10,$A$2),"",INDEX(DemoHistory[Date],$A847))</f>
        <v/>
      </c>
      <c r="C847" s="166" t="str">
        <f>IF(OR($A847&gt;MIN($A$10,$A$2),$A$5=""),"",INDEX(DemoHistory[],$A847,MATCH($A$5,DemoHistory[#Headers],0)))</f>
        <v/>
      </c>
      <c r="D847" s="166" t="str">
        <f>IF($A847&gt;MIN($A$10,$A$2),"",IF(AND($A$12,$A$6=1,B847&lt;$A$7,$A$7&lt;=MAX(DemoHistory[Date])),$A$8,1))</f>
        <v/>
      </c>
      <c r="E847" s="166" t="str">
        <f t="shared" si="36"/>
        <v/>
      </c>
      <c r="F847" s="166" t="str">
        <f>IF($A847&gt;MIN($A$10,$A$2),"",IF($A847&lt;50,"n.a.",IF(COUNT(INDEX(StockDaily[Adjusted close],MAX(1,$A847-50+1)):E847)=50,AVERAGE(INDEX(StockDaily[Adjusted close],MAX(1,$A847-50+1)):E847),"n.a.")))</f>
        <v/>
      </c>
      <c r="G847" s="166" t="str">
        <f>IF($A847&gt;MIN($A$10,$A$2),"",IF($A847&lt;200,"n.a.",IF(COUNT(INDEX(StockDaily[Adjusted close],MAX(1,$A847-200+1)):E847)=200,AVERAGE(INDEX(StockDaily[Adjusted close],MAX(1,$A847-200+1)):E847),"n.a.")))</f>
        <v/>
      </c>
      <c r="H847" s="136" t="str">
        <f>IF($A847&gt;MIN($A$10,$A$2),"",IF($A$5="","Choose stock",IF(NOT($A$12),"Check split rule",IF(NOT(ISNUMBER(B847)),"Invalid date",IF(OR(B847&lt;=0,B847&lt;&gt;INT(B847)),"Invalid date",IF(COUNTIFS(DemoHistory[Date],B847)&lt;&gt;1,"Duplicate date",IF(AND($A847&gt;1,B847&lt;=B846),"Dates out of order",IF(NOT(ISNUMBER(C847)),"Missing price",IF(C847&lt;=0,"Nonpositive price","OK")))))))))</f>
        <v/>
      </c>
      <c r="I847" s="136"/>
      <c r="J847" s="136"/>
      <c r="K847" s="136"/>
      <c r="L847" s="136"/>
      <c r="M847" s="136"/>
      <c r="N847" s="136" t="e">
        <f t="shared" si="37"/>
        <v>#N/A</v>
      </c>
      <c r="O847" s="136" t="e">
        <f t="shared" si="38"/>
        <v>#N/A</v>
      </c>
    </row>
    <row r="848" spans="1:15" ht="22.05" customHeight="1" x14ac:dyDescent="0.3">
      <c r="A848" s="136">
        <v>804</v>
      </c>
      <c r="B848" s="165" t="str">
        <f>IF($A848&gt;MIN($A$10,$A$2),"",INDEX(DemoHistory[Date],$A848))</f>
        <v/>
      </c>
      <c r="C848" s="166" t="str">
        <f>IF(OR($A848&gt;MIN($A$10,$A$2),$A$5=""),"",INDEX(DemoHistory[],$A848,MATCH($A$5,DemoHistory[#Headers],0)))</f>
        <v/>
      </c>
      <c r="D848" s="166" t="str">
        <f>IF($A848&gt;MIN($A$10,$A$2),"",IF(AND($A$12,$A$6=1,B848&lt;$A$7,$A$7&lt;=MAX(DemoHistory[Date])),$A$8,1))</f>
        <v/>
      </c>
      <c r="E848" s="166" t="str">
        <f t="shared" si="36"/>
        <v/>
      </c>
      <c r="F848" s="166" t="str">
        <f>IF($A848&gt;MIN($A$10,$A$2),"",IF($A848&lt;50,"n.a.",IF(COUNT(INDEX(StockDaily[Adjusted close],MAX(1,$A848-50+1)):E848)=50,AVERAGE(INDEX(StockDaily[Adjusted close],MAX(1,$A848-50+1)):E848),"n.a.")))</f>
        <v/>
      </c>
      <c r="G848" s="166" t="str">
        <f>IF($A848&gt;MIN($A$10,$A$2),"",IF($A848&lt;200,"n.a.",IF(COUNT(INDEX(StockDaily[Adjusted close],MAX(1,$A848-200+1)):E848)=200,AVERAGE(INDEX(StockDaily[Adjusted close],MAX(1,$A848-200+1)):E848),"n.a.")))</f>
        <v/>
      </c>
      <c r="H848" s="136" t="str">
        <f>IF($A848&gt;MIN($A$10,$A$2),"",IF($A$5="","Choose stock",IF(NOT($A$12),"Check split rule",IF(NOT(ISNUMBER(B848)),"Invalid date",IF(OR(B848&lt;=0,B848&lt;&gt;INT(B848)),"Invalid date",IF(COUNTIFS(DemoHistory[Date],B848)&lt;&gt;1,"Duplicate date",IF(AND($A848&gt;1,B848&lt;=B847),"Dates out of order",IF(NOT(ISNUMBER(C848)),"Missing price",IF(C848&lt;=0,"Nonpositive price","OK")))))))))</f>
        <v/>
      </c>
      <c r="I848" s="136"/>
      <c r="J848" s="136"/>
      <c r="K848" s="136"/>
      <c r="L848" s="136"/>
      <c r="M848" s="136"/>
      <c r="N848" s="136" t="e">
        <f t="shared" si="37"/>
        <v>#N/A</v>
      </c>
      <c r="O848" s="136" t="e">
        <f t="shared" si="38"/>
        <v>#N/A</v>
      </c>
    </row>
    <row r="849" spans="1:15" ht="22.05" customHeight="1" x14ac:dyDescent="0.3">
      <c r="A849" s="136">
        <v>805</v>
      </c>
      <c r="B849" s="165" t="str">
        <f>IF($A849&gt;MIN($A$10,$A$2),"",INDEX(DemoHistory[Date],$A849))</f>
        <v/>
      </c>
      <c r="C849" s="166" t="str">
        <f>IF(OR($A849&gt;MIN($A$10,$A$2),$A$5=""),"",INDEX(DemoHistory[],$A849,MATCH($A$5,DemoHistory[#Headers],0)))</f>
        <v/>
      </c>
      <c r="D849" s="166" t="str">
        <f>IF($A849&gt;MIN($A$10,$A$2),"",IF(AND($A$12,$A$6=1,B849&lt;$A$7,$A$7&lt;=MAX(DemoHistory[Date])),$A$8,1))</f>
        <v/>
      </c>
      <c r="E849" s="166" t="str">
        <f t="shared" si="36"/>
        <v/>
      </c>
      <c r="F849" s="166" t="str">
        <f>IF($A849&gt;MIN($A$10,$A$2),"",IF($A849&lt;50,"n.a.",IF(COUNT(INDEX(StockDaily[Adjusted close],MAX(1,$A849-50+1)):E849)=50,AVERAGE(INDEX(StockDaily[Adjusted close],MAX(1,$A849-50+1)):E849),"n.a.")))</f>
        <v/>
      </c>
      <c r="G849" s="166" t="str">
        <f>IF($A849&gt;MIN($A$10,$A$2),"",IF($A849&lt;200,"n.a.",IF(COUNT(INDEX(StockDaily[Adjusted close],MAX(1,$A849-200+1)):E849)=200,AVERAGE(INDEX(StockDaily[Adjusted close],MAX(1,$A849-200+1)):E849),"n.a.")))</f>
        <v/>
      </c>
      <c r="H849" s="136" t="str">
        <f>IF($A849&gt;MIN($A$10,$A$2),"",IF($A$5="","Choose stock",IF(NOT($A$12),"Check split rule",IF(NOT(ISNUMBER(B849)),"Invalid date",IF(OR(B849&lt;=0,B849&lt;&gt;INT(B849)),"Invalid date",IF(COUNTIFS(DemoHistory[Date],B849)&lt;&gt;1,"Duplicate date",IF(AND($A849&gt;1,B849&lt;=B848),"Dates out of order",IF(NOT(ISNUMBER(C849)),"Missing price",IF(C849&lt;=0,"Nonpositive price","OK")))))))))</f>
        <v/>
      </c>
      <c r="I849" s="136"/>
      <c r="J849" s="136"/>
      <c r="K849" s="136"/>
      <c r="L849" s="136"/>
      <c r="M849" s="136"/>
      <c r="N849" s="136" t="e">
        <f t="shared" si="37"/>
        <v>#N/A</v>
      </c>
      <c r="O849" s="136" t="e">
        <f t="shared" si="38"/>
        <v>#N/A</v>
      </c>
    </row>
    <row r="850" spans="1:15" ht="22.05" customHeight="1" x14ac:dyDescent="0.3">
      <c r="A850" s="136">
        <v>806</v>
      </c>
      <c r="B850" s="165" t="str">
        <f>IF($A850&gt;MIN($A$10,$A$2),"",INDEX(DemoHistory[Date],$A850))</f>
        <v/>
      </c>
      <c r="C850" s="166" t="str">
        <f>IF(OR($A850&gt;MIN($A$10,$A$2),$A$5=""),"",INDEX(DemoHistory[],$A850,MATCH($A$5,DemoHistory[#Headers],0)))</f>
        <v/>
      </c>
      <c r="D850" s="166" t="str">
        <f>IF($A850&gt;MIN($A$10,$A$2),"",IF(AND($A$12,$A$6=1,B850&lt;$A$7,$A$7&lt;=MAX(DemoHistory[Date])),$A$8,1))</f>
        <v/>
      </c>
      <c r="E850" s="166" t="str">
        <f t="shared" si="36"/>
        <v/>
      </c>
      <c r="F850" s="166" t="str">
        <f>IF($A850&gt;MIN($A$10,$A$2),"",IF($A850&lt;50,"n.a.",IF(COUNT(INDEX(StockDaily[Adjusted close],MAX(1,$A850-50+1)):E850)=50,AVERAGE(INDEX(StockDaily[Adjusted close],MAX(1,$A850-50+1)):E850),"n.a.")))</f>
        <v/>
      </c>
      <c r="G850" s="166" t="str">
        <f>IF($A850&gt;MIN($A$10,$A$2),"",IF($A850&lt;200,"n.a.",IF(COUNT(INDEX(StockDaily[Adjusted close],MAX(1,$A850-200+1)):E850)=200,AVERAGE(INDEX(StockDaily[Adjusted close],MAX(1,$A850-200+1)):E850),"n.a.")))</f>
        <v/>
      </c>
      <c r="H850" s="136" t="str">
        <f>IF($A850&gt;MIN($A$10,$A$2),"",IF($A$5="","Choose stock",IF(NOT($A$12),"Check split rule",IF(NOT(ISNUMBER(B850)),"Invalid date",IF(OR(B850&lt;=0,B850&lt;&gt;INT(B850)),"Invalid date",IF(COUNTIFS(DemoHistory[Date],B850)&lt;&gt;1,"Duplicate date",IF(AND($A850&gt;1,B850&lt;=B849),"Dates out of order",IF(NOT(ISNUMBER(C850)),"Missing price",IF(C850&lt;=0,"Nonpositive price","OK")))))))))</f>
        <v/>
      </c>
      <c r="I850" s="136"/>
      <c r="J850" s="136"/>
      <c r="K850" s="136"/>
      <c r="L850" s="136"/>
      <c r="M850" s="136"/>
      <c r="N850" s="136" t="e">
        <f t="shared" si="37"/>
        <v>#N/A</v>
      </c>
      <c r="O850" s="136" t="e">
        <f t="shared" si="38"/>
        <v>#N/A</v>
      </c>
    </row>
    <row r="851" spans="1:15" ht="22.05" customHeight="1" x14ac:dyDescent="0.3">
      <c r="A851" s="136">
        <v>807</v>
      </c>
      <c r="B851" s="165" t="str">
        <f>IF($A851&gt;MIN($A$10,$A$2),"",INDEX(DemoHistory[Date],$A851))</f>
        <v/>
      </c>
      <c r="C851" s="166" t="str">
        <f>IF(OR($A851&gt;MIN($A$10,$A$2),$A$5=""),"",INDEX(DemoHistory[],$A851,MATCH($A$5,DemoHistory[#Headers],0)))</f>
        <v/>
      </c>
      <c r="D851" s="166" t="str">
        <f>IF($A851&gt;MIN($A$10,$A$2),"",IF(AND($A$12,$A$6=1,B851&lt;$A$7,$A$7&lt;=MAX(DemoHistory[Date])),$A$8,1))</f>
        <v/>
      </c>
      <c r="E851" s="166" t="str">
        <f t="shared" si="36"/>
        <v/>
      </c>
      <c r="F851" s="166" t="str">
        <f>IF($A851&gt;MIN($A$10,$A$2),"",IF($A851&lt;50,"n.a.",IF(COUNT(INDEX(StockDaily[Adjusted close],MAX(1,$A851-50+1)):E851)=50,AVERAGE(INDEX(StockDaily[Adjusted close],MAX(1,$A851-50+1)):E851),"n.a.")))</f>
        <v/>
      </c>
      <c r="G851" s="166" t="str">
        <f>IF($A851&gt;MIN($A$10,$A$2),"",IF($A851&lt;200,"n.a.",IF(COUNT(INDEX(StockDaily[Adjusted close],MAX(1,$A851-200+1)):E851)=200,AVERAGE(INDEX(StockDaily[Adjusted close],MAX(1,$A851-200+1)):E851),"n.a.")))</f>
        <v/>
      </c>
      <c r="H851" s="136" t="str">
        <f>IF($A851&gt;MIN($A$10,$A$2),"",IF($A$5="","Choose stock",IF(NOT($A$12),"Check split rule",IF(NOT(ISNUMBER(B851)),"Invalid date",IF(OR(B851&lt;=0,B851&lt;&gt;INT(B851)),"Invalid date",IF(COUNTIFS(DemoHistory[Date],B851)&lt;&gt;1,"Duplicate date",IF(AND($A851&gt;1,B851&lt;=B850),"Dates out of order",IF(NOT(ISNUMBER(C851)),"Missing price",IF(C851&lt;=0,"Nonpositive price","OK")))))))))</f>
        <v/>
      </c>
      <c r="I851" s="136"/>
      <c r="J851" s="136"/>
      <c r="K851" s="136"/>
      <c r="L851" s="136"/>
      <c r="M851" s="136"/>
      <c r="N851" s="136" t="e">
        <f t="shared" si="37"/>
        <v>#N/A</v>
      </c>
      <c r="O851" s="136" t="e">
        <f t="shared" si="38"/>
        <v>#N/A</v>
      </c>
    </row>
    <row r="852" spans="1:15" ht="22.05" customHeight="1" x14ac:dyDescent="0.3">
      <c r="A852" s="136">
        <v>808</v>
      </c>
      <c r="B852" s="165" t="str">
        <f>IF($A852&gt;MIN($A$10,$A$2),"",INDEX(DemoHistory[Date],$A852))</f>
        <v/>
      </c>
      <c r="C852" s="166" t="str">
        <f>IF(OR($A852&gt;MIN($A$10,$A$2),$A$5=""),"",INDEX(DemoHistory[],$A852,MATCH($A$5,DemoHistory[#Headers],0)))</f>
        <v/>
      </c>
      <c r="D852" s="166" t="str">
        <f>IF($A852&gt;MIN($A$10,$A$2),"",IF(AND($A$12,$A$6=1,B852&lt;$A$7,$A$7&lt;=MAX(DemoHistory[Date])),$A$8,1))</f>
        <v/>
      </c>
      <c r="E852" s="166" t="str">
        <f t="shared" si="36"/>
        <v/>
      </c>
      <c r="F852" s="166" t="str">
        <f>IF($A852&gt;MIN($A$10,$A$2),"",IF($A852&lt;50,"n.a.",IF(COUNT(INDEX(StockDaily[Adjusted close],MAX(1,$A852-50+1)):E852)=50,AVERAGE(INDEX(StockDaily[Adjusted close],MAX(1,$A852-50+1)):E852),"n.a.")))</f>
        <v/>
      </c>
      <c r="G852" s="166" t="str">
        <f>IF($A852&gt;MIN($A$10,$A$2),"",IF($A852&lt;200,"n.a.",IF(COUNT(INDEX(StockDaily[Adjusted close],MAX(1,$A852-200+1)):E852)=200,AVERAGE(INDEX(StockDaily[Adjusted close],MAX(1,$A852-200+1)):E852),"n.a.")))</f>
        <v/>
      </c>
      <c r="H852" s="136" t="str">
        <f>IF($A852&gt;MIN($A$10,$A$2),"",IF($A$5="","Choose stock",IF(NOT($A$12),"Check split rule",IF(NOT(ISNUMBER(B852)),"Invalid date",IF(OR(B852&lt;=0,B852&lt;&gt;INT(B852)),"Invalid date",IF(COUNTIFS(DemoHistory[Date],B852)&lt;&gt;1,"Duplicate date",IF(AND($A852&gt;1,B852&lt;=B851),"Dates out of order",IF(NOT(ISNUMBER(C852)),"Missing price",IF(C852&lt;=0,"Nonpositive price","OK")))))))))</f>
        <v/>
      </c>
      <c r="I852" s="136"/>
      <c r="J852" s="136"/>
      <c r="K852" s="136"/>
      <c r="L852" s="136"/>
      <c r="M852" s="136"/>
      <c r="N852" s="136" t="e">
        <f t="shared" si="37"/>
        <v>#N/A</v>
      </c>
      <c r="O852" s="136" t="e">
        <f t="shared" si="38"/>
        <v>#N/A</v>
      </c>
    </row>
    <row r="853" spans="1:15" ht="22.05" customHeight="1" x14ac:dyDescent="0.3">
      <c r="A853" s="136">
        <v>809</v>
      </c>
      <c r="B853" s="165" t="str">
        <f>IF($A853&gt;MIN($A$10,$A$2),"",INDEX(DemoHistory[Date],$A853))</f>
        <v/>
      </c>
      <c r="C853" s="166" t="str">
        <f>IF(OR($A853&gt;MIN($A$10,$A$2),$A$5=""),"",INDEX(DemoHistory[],$A853,MATCH($A$5,DemoHistory[#Headers],0)))</f>
        <v/>
      </c>
      <c r="D853" s="166" t="str">
        <f>IF($A853&gt;MIN($A$10,$A$2),"",IF(AND($A$12,$A$6=1,B853&lt;$A$7,$A$7&lt;=MAX(DemoHistory[Date])),$A$8,1))</f>
        <v/>
      </c>
      <c r="E853" s="166" t="str">
        <f t="shared" si="36"/>
        <v/>
      </c>
      <c r="F853" s="166" t="str">
        <f>IF($A853&gt;MIN($A$10,$A$2),"",IF($A853&lt;50,"n.a.",IF(COUNT(INDEX(StockDaily[Adjusted close],MAX(1,$A853-50+1)):E853)=50,AVERAGE(INDEX(StockDaily[Adjusted close],MAX(1,$A853-50+1)):E853),"n.a.")))</f>
        <v/>
      </c>
      <c r="G853" s="166" t="str">
        <f>IF($A853&gt;MIN($A$10,$A$2),"",IF($A853&lt;200,"n.a.",IF(COUNT(INDEX(StockDaily[Adjusted close],MAX(1,$A853-200+1)):E853)=200,AVERAGE(INDEX(StockDaily[Adjusted close],MAX(1,$A853-200+1)):E853),"n.a.")))</f>
        <v/>
      </c>
      <c r="H853" s="136" t="str">
        <f>IF($A853&gt;MIN($A$10,$A$2),"",IF($A$5="","Choose stock",IF(NOT($A$12),"Check split rule",IF(NOT(ISNUMBER(B853)),"Invalid date",IF(OR(B853&lt;=0,B853&lt;&gt;INT(B853)),"Invalid date",IF(COUNTIFS(DemoHistory[Date],B853)&lt;&gt;1,"Duplicate date",IF(AND($A853&gt;1,B853&lt;=B852),"Dates out of order",IF(NOT(ISNUMBER(C853)),"Missing price",IF(C853&lt;=0,"Nonpositive price","OK")))))))))</f>
        <v/>
      </c>
      <c r="I853" s="136"/>
      <c r="J853" s="136"/>
      <c r="K853" s="136"/>
      <c r="L853" s="136"/>
      <c r="M853" s="136"/>
      <c r="N853" s="136" t="e">
        <f t="shared" si="37"/>
        <v>#N/A</v>
      </c>
      <c r="O853" s="136" t="e">
        <f t="shared" si="38"/>
        <v>#N/A</v>
      </c>
    </row>
    <row r="854" spans="1:15" ht="22.05" customHeight="1" x14ac:dyDescent="0.3">
      <c r="A854" s="136">
        <v>810</v>
      </c>
      <c r="B854" s="165" t="str">
        <f>IF($A854&gt;MIN($A$10,$A$2),"",INDEX(DemoHistory[Date],$A854))</f>
        <v/>
      </c>
      <c r="C854" s="166" t="str">
        <f>IF(OR($A854&gt;MIN($A$10,$A$2),$A$5=""),"",INDEX(DemoHistory[],$A854,MATCH($A$5,DemoHistory[#Headers],0)))</f>
        <v/>
      </c>
      <c r="D854" s="166" t="str">
        <f>IF($A854&gt;MIN($A$10,$A$2),"",IF(AND($A$12,$A$6=1,B854&lt;$A$7,$A$7&lt;=MAX(DemoHistory[Date])),$A$8,1))</f>
        <v/>
      </c>
      <c r="E854" s="166" t="str">
        <f t="shared" si="36"/>
        <v/>
      </c>
      <c r="F854" s="166" t="str">
        <f>IF($A854&gt;MIN($A$10,$A$2),"",IF($A854&lt;50,"n.a.",IF(COUNT(INDEX(StockDaily[Adjusted close],MAX(1,$A854-50+1)):E854)=50,AVERAGE(INDEX(StockDaily[Adjusted close],MAX(1,$A854-50+1)):E854),"n.a.")))</f>
        <v/>
      </c>
      <c r="G854" s="166" t="str">
        <f>IF($A854&gt;MIN($A$10,$A$2),"",IF($A854&lt;200,"n.a.",IF(COUNT(INDEX(StockDaily[Adjusted close],MAX(1,$A854-200+1)):E854)=200,AVERAGE(INDEX(StockDaily[Adjusted close],MAX(1,$A854-200+1)):E854),"n.a.")))</f>
        <v/>
      </c>
      <c r="H854" s="136" t="str">
        <f>IF($A854&gt;MIN($A$10,$A$2),"",IF($A$5="","Choose stock",IF(NOT($A$12),"Check split rule",IF(NOT(ISNUMBER(B854)),"Invalid date",IF(OR(B854&lt;=0,B854&lt;&gt;INT(B854)),"Invalid date",IF(COUNTIFS(DemoHistory[Date],B854)&lt;&gt;1,"Duplicate date",IF(AND($A854&gt;1,B854&lt;=B853),"Dates out of order",IF(NOT(ISNUMBER(C854)),"Missing price",IF(C854&lt;=0,"Nonpositive price","OK")))))))))</f>
        <v/>
      </c>
      <c r="I854" s="136"/>
      <c r="J854" s="136"/>
      <c r="K854" s="136"/>
      <c r="L854" s="136"/>
      <c r="M854" s="136"/>
      <c r="N854" s="136" t="e">
        <f t="shared" si="37"/>
        <v>#N/A</v>
      </c>
      <c r="O854" s="136" t="e">
        <f t="shared" si="38"/>
        <v>#N/A</v>
      </c>
    </row>
    <row r="855" spans="1:15" ht="22.05" customHeight="1" x14ac:dyDescent="0.3">
      <c r="A855" s="136">
        <v>811</v>
      </c>
      <c r="B855" s="165" t="str">
        <f>IF($A855&gt;MIN($A$10,$A$2),"",INDEX(DemoHistory[Date],$A855))</f>
        <v/>
      </c>
      <c r="C855" s="166" t="str">
        <f>IF(OR($A855&gt;MIN($A$10,$A$2),$A$5=""),"",INDEX(DemoHistory[],$A855,MATCH($A$5,DemoHistory[#Headers],0)))</f>
        <v/>
      </c>
      <c r="D855" s="166" t="str">
        <f>IF($A855&gt;MIN($A$10,$A$2),"",IF(AND($A$12,$A$6=1,B855&lt;$A$7,$A$7&lt;=MAX(DemoHistory[Date])),$A$8,1))</f>
        <v/>
      </c>
      <c r="E855" s="166" t="str">
        <f t="shared" si="36"/>
        <v/>
      </c>
      <c r="F855" s="166" t="str">
        <f>IF($A855&gt;MIN($A$10,$A$2),"",IF($A855&lt;50,"n.a.",IF(COUNT(INDEX(StockDaily[Adjusted close],MAX(1,$A855-50+1)):E855)=50,AVERAGE(INDEX(StockDaily[Adjusted close],MAX(1,$A855-50+1)):E855),"n.a.")))</f>
        <v/>
      </c>
      <c r="G855" s="166" t="str">
        <f>IF($A855&gt;MIN($A$10,$A$2),"",IF($A855&lt;200,"n.a.",IF(COUNT(INDEX(StockDaily[Adjusted close],MAX(1,$A855-200+1)):E855)=200,AVERAGE(INDEX(StockDaily[Adjusted close],MAX(1,$A855-200+1)):E855),"n.a.")))</f>
        <v/>
      </c>
      <c r="H855" s="136" t="str">
        <f>IF($A855&gt;MIN($A$10,$A$2),"",IF($A$5="","Choose stock",IF(NOT($A$12),"Check split rule",IF(NOT(ISNUMBER(B855)),"Invalid date",IF(OR(B855&lt;=0,B855&lt;&gt;INT(B855)),"Invalid date",IF(COUNTIFS(DemoHistory[Date],B855)&lt;&gt;1,"Duplicate date",IF(AND($A855&gt;1,B855&lt;=B854),"Dates out of order",IF(NOT(ISNUMBER(C855)),"Missing price",IF(C855&lt;=0,"Nonpositive price","OK")))))))))</f>
        <v/>
      </c>
      <c r="I855" s="136"/>
      <c r="J855" s="136"/>
      <c r="K855" s="136"/>
      <c r="L855" s="136"/>
      <c r="M855" s="136"/>
      <c r="N855" s="136" t="e">
        <f t="shared" si="37"/>
        <v>#N/A</v>
      </c>
      <c r="O855" s="136" t="e">
        <f t="shared" si="38"/>
        <v>#N/A</v>
      </c>
    </row>
    <row r="856" spans="1:15" ht="22.05" customHeight="1" x14ac:dyDescent="0.3">
      <c r="A856" s="136">
        <v>812</v>
      </c>
      <c r="B856" s="165" t="str">
        <f>IF($A856&gt;MIN($A$10,$A$2),"",INDEX(DemoHistory[Date],$A856))</f>
        <v/>
      </c>
      <c r="C856" s="166" t="str">
        <f>IF(OR($A856&gt;MIN($A$10,$A$2),$A$5=""),"",INDEX(DemoHistory[],$A856,MATCH($A$5,DemoHistory[#Headers],0)))</f>
        <v/>
      </c>
      <c r="D856" s="166" t="str">
        <f>IF($A856&gt;MIN($A$10,$A$2),"",IF(AND($A$12,$A$6=1,B856&lt;$A$7,$A$7&lt;=MAX(DemoHistory[Date])),$A$8,1))</f>
        <v/>
      </c>
      <c r="E856" s="166" t="str">
        <f t="shared" si="36"/>
        <v/>
      </c>
      <c r="F856" s="166" t="str">
        <f>IF($A856&gt;MIN($A$10,$A$2),"",IF($A856&lt;50,"n.a.",IF(COUNT(INDEX(StockDaily[Adjusted close],MAX(1,$A856-50+1)):E856)=50,AVERAGE(INDEX(StockDaily[Adjusted close],MAX(1,$A856-50+1)):E856),"n.a.")))</f>
        <v/>
      </c>
      <c r="G856" s="166" t="str">
        <f>IF($A856&gt;MIN($A$10,$A$2),"",IF($A856&lt;200,"n.a.",IF(COUNT(INDEX(StockDaily[Adjusted close],MAX(1,$A856-200+1)):E856)=200,AVERAGE(INDEX(StockDaily[Adjusted close],MAX(1,$A856-200+1)):E856),"n.a.")))</f>
        <v/>
      </c>
      <c r="H856" s="136" t="str">
        <f>IF($A856&gt;MIN($A$10,$A$2),"",IF($A$5="","Choose stock",IF(NOT($A$12),"Check split rule",IF(NOT(ISNUMBER(B856)),"Invalid date",IF(OR(B856&lt;=0,B856&lt;&gt;INT(B856)),"Invalid date",IF(COUNTIFS(DemoHistory[Date],B856)&lt;&gt;1,"Duplicate date",IF(AND($A856&gt;1,B856&lt;=B855),"Dates out of order",IF(NOT(ISNUMBER(C856)),"Missing price",IF(C856&lt;=0,"Nonpositive price","OK")))))))))</f>
        <v/>
      </c>
      <c r="I856" s="136"/>
      <c r="J856" s="136"/>
      <c r="K856" s="136"/>
      <c r="L856" s="136"/>
      <c r="M856" s="136"/>
      <c r="N856" s="136" t="e">
        <f t="shared" si="37"/>
        <v>#N/A</v>
      </c>
      <c r="O856" s="136" t="e">
        <f t="shared" si="38"/>
        <v>#N/A</v>
      </c>
    </row>
    <row r="857" spans="1:15" ht="22.05" customHeight="1" x14ac:dyDescent="0.3">
      <c r="A857" s="136">
        <v>813</v>
      </c>
      <c r="B857" s="165" t="str">
        <f>IF($A857&gt;MIN($A$10,$A$2),"",INDEX(DemoHistory[Date],$A857))</f>
        <v/>
      </c>
      <c r="C857" s="166" t="str">
        <f>IF(OR($A857&gt;MIN($A$10,$A$2),$A$5=""),"",INDEX(DemoHistory[],$A857,MATCH($A$5,DemoHistory[#Headers],0)))</f>
        <v/>
      </c>
      <c r="D857" s="166" t="str">
        <f>IF($A857&gt;MIN($A$10,$A$2),"",IF(AND($A$12,$A$6=1,B857&lt;$A$7,$A$7&lt;=MAX(DemoHistory[Date])),$A$8,1))</f>
        <v/>
      </c>
      <c r="E857" s="166" t="str">
        <f t="shared" si="36"/>
        <v/>
      </c>
      <c r="F857" s="166" t="str">
        <f>IF($A857&gt;MIN($A$10,$A$2),"",IF($A857&lt;50,"n.a.",IF(COUNT(INDEX(StockDaily[Adjusted close],MAX(1,$A857-50+1)):E857)=50,AVERAGE(INDEX(StockDaily[Adjusted close],MAX(1,$A857-50+1)):E857),"n.a.")))</f>
        <v/>
      </c>
      <c r="G857" s="166" t="str">
        <f>IF($A857&gt;MIN($A$10,$A$2),"",IF($A857&lt;200,"n.a.",IF(COUNT(INDEX(StockDaily[Adjusted close],MAX(1,$A857-200+1)):E857)=200,AVERAGE(INDEX(StockDaily[Adjusted close],MAX(1,$A857-200+1)):E857),"n.a.")))</f>
        <v/>
      </c>
      <c r="H857" s="136" t="str">
        <f>IF($A857&gt;MIN($A$10,$A$2),"",IF($A$5="","Choose stock",IF(NOT($A$12),"Check split rule",IF(NOT(ISNUMBER(B857)),"Invalid date",IF(OR(B857&lt;=0,B857&lt;&gt;INT(B857)),"Invalid date",IF(COUNTIFS(DemoHistory[Date],B857)&lt;&gt;1,"Duplicate date",IF(AND($A857&gt;1,B857&lt;=B856),"Dates out of order",IF(NOT(ISNUMBER(C857)),"Missing price",IF(C857&lt;=0,"Nonpositive price","OK")))))))))</f>
        <v/>
      </c>
      <c r="I857" s="136"/>
      <c r="J857" s="136"/>
      <c r="K857" s="136"/>
      <c r="L857" s="136"/>
      <c r="M857" s="136"/>
      <c r="N857" s="136" t="e">
        <f t="shared" si="37"/>
        <v>#N/A</v>
      </c>
      <c r="O857" s="136" t="e">
        <f t="shared" si="38"/>
        <v>#N/A</v>
      </c>
    </row>
    <row r="858" spans="1:15" ht="22.05" customHeight="1" x14ac:dyDescent="0.3">
      <c r="A858" s="136">
        <v>814</v>
      </c>
      <c r="B858" s="165" t="str">
        <f>IF($A858&gt;MIN($A$10,$A$2),"",INDEX(DemoHistory[Date],$A858))</f>
        <v/>
      </c>
      <c r="C858" s="166" t="str">
        <f>IF(OR($A858&gt;MIN($A$10,$A$2),$A$5=""),"",INDEX(DemoHistory[],$A858,MATCH($A$5,DemoHistory[#Headers],0)))</f>
        <v/>
      </c>
      <c r="D858" s="166" t="str">
        <f>IF($A858&gt;MIN($A$10,$A$2),"",IF(AND($A$12,$A$6=1,B858&lt;$A$7,$A$7&lt;=MAX(DemoHistory[Date])),$A$8,1))</f>
        <v/>
      </c>
      <c r="E858" s="166" t="str">
        <f t="shared" si="36"/>
        <v/>
      </c>
      <c r="F858" s="166" t="str">
        <f>IF($A858&gt;MIN($A$10,$A$2),"",IF($A858&lt;50,"n.a.",IF(COUNT(INDEX(StockDaily[Adjusted close],MAX(1,$A858-50+1)):E858)=50,AVERAGE(INDEX(StockDaily[Adjusted close],MAX(1,$A858-50+1)):E858),"n.a.")))</f>
        <v/>
      </c>
      <c r="G858" s="166" t="str">
        <f>IF($A858&gt;MIN($A$10,$A$2),"",IF($A858&lt;200,"n.a.",IF(COUNT(INDEX(StockDaily[Adjusted close],MAX(1,$A858-200+1)):E858)=200,AVERAGE(INDEX(StockDaily[Adjusted close],MAX(1,$A858-200+1)):E858),"n.a.")))</f>
        <v/>
      </c>
      <c r="H858" s="136" t="str">
        <f>IF($A858&gt;MIN($A$10,$A$2),"",IF($A$5="","Choose stock",IF(NOT($A$12),"Check split rule",IF(NOT(ISNUMBER(B858)),"Invalid date",IF(OR(B858&lt;=0,B858&lt;&gt;INT(B858)),"Invalid date",IF(COUNTIFS(DemoHistory[Date],B858)&lt;&gt;1,"Duplicate date",IF(AND($A858&gt;1,B858&lt;=B857),"Dates out of order",IF(NOT(ISNUMBER(C858)),"Missing price",IF(C858&lt;=0,"Nonpositive price","OK")))))))))</f>
        <v/>
      </c>
      <c r="I858" s="136"/>
      <c r="J858" s="136"/>
      <c r="K858" s="136"/>
      <c r="L858" s="136"/>
      <c r="M858" s="136"/>
      <c r="N858" s="136" t="e">
        <f t="shared" si="37"/>
        <v>#N/A</v>
      </c>
      <c r="O858" s="136" t="e">
        <f t="shared" si="38"/>
        <v>#N/A</v>
      </c>
    </row>
    <row r="859" spans="1:15" ht="22.05" customHeight="1" x14ac:dyDescent="0.3">
      <c r="A859" s="136">
        <v>815</v>
      </c>
      <c r="B859" s="165" t="str">
        <f>IF($A859&gt;MIN($A$10,$A$2),"",INDEX(DemoHistory[Date],$A859))</f>
        <v/>
      </c>
      <c r="C859" s="166" t="str">
        <f>IF(OR($A859&gt;MIN($A$10,$A$2),$A$5=""),"",INDEX(DemoHistory[],$A859,MATCH($A$5,DemoHistory[#Headers],0)))</f>
        <v/>
      </c>
      <c r="D859" s="166" t="str">
        <f>IF($A859&gt;MIN($A$10,$A$2),"",IF(AND($A$12,$A$6=1,B859&lt;$A$7,$A$7&lt;=MAX(DemoHistory[Date])),$A$8,1))</f>
        <v/>
      </c>
      <c r="E859" s="166" t="str">
        <f t="shared" si="36"/>
        <v/>
      </c>
      <c r="F859" s="166" t="str">
        <f>IF($A859&gt;MIN($A$10,$A$2),"",IF($A859&lt;50,"n.a.",IF(COUNT(INDEX(StockDaily[Adjusted close],MAX(1,$A859-50+1)):E859)=50,AVERAGE(INDEX(StockDaily[Adjusted close],MAX(1,$A859-50+1)):E859),"n.a.")))</f>
        <v/>
      </c>
      <c r="G859" s="166" t="str">
        <f>IF($A859&gt;MIN($A$10,$A$2),"",IF($A859&lt;200,"n.a.",IF(COUNT(INDEX(StockDaily[Adjusted close],MAX(1,$A859-200+1)):E859)=200,AVERAGE(INDEX(StockDaily[Adjusted close],MAX(1,$A859-200+1)):E859),"n.a.")))</f>
        <v/>
      </c>
      <c r="H859" s="136" t="str">
        <f>IF($A859&gt;MIN($A$10,$A$2),"",IF($A$5="","Choose stock",IF(NOT($A$12),"Check split rule",IF(NOT(ISNUMBER(B859)),"Invalid date",IF(OR(B859&lt;=0,B859&lt;&gt;INT(B859)),"Invalid date",IF(COUNTIFS(DemoHistory[Date],B859)&lt;&gt;1,"Duplicate date",IF(AND($A859&gt;1,B859&lt;=B858),"Dates out of order",IF(NOT(ISNUMBER(C859)),"Missing price",IF(C859&lt;=0,"Nonpositive price","OK")))))))))</f>
        <v/>
      </c>
      <c r="I859" s="136"/>
      <c r="J859" s="136"/>
      <c r="K859" s="136"/>
      <c r="L859" s="136"/>
      <c r="M859" s="136"/>
      <c r="N859" s="136" t="e">
        <f t="shared" si="37"/>
        <v>#N/A</v>
      </c>
      <c r="O859" s="136" t="e">
        <f t="shared" si="38"/>
        <v>#N/A</v>
      </c>
    </row>
    <row r="860" spans="1:15" ht="22.05" customHeight="1" x14ac:dyDescent="0.3">
      <c r="A860" s="136">
        <v>816</v>
      </c>
      <c r="B860" s="165" t="str">
        <f>IF($A860&gt;MIN($A$10,$A$2),"",INDEX(DemoHistory[Date],$A860))</f>
        <v/>
      </c>
      <c r="C860" s="166" t="str">
        <f>IF(OR($A860&gt;MIN($A$10,$A$2),$A$5=""),"",INDEX(DemoHistory[],$A860,MATCH($A$5,DemoHistory[#Headers],0)))</f>
        <v/>
      </c>
      <c r="D860" s="166" t="str">
        <f>IF($A860&gt;MIN($A$10,$A$2),"",IF(AND($A$12,$A$6=1,B860&lt;$A$7,$A$7&lt;=MAX(DemoHistory[Date])),$A$8,1))</f>
        <v/>
      </c>
      <c r="E860" s="166" t="str">
        <f t="shared" si="36"/>
        <v/>
      </c>
      <c r="F860" s="166" t="str">
        <f>IF($A860&gt;MIN($A$10,$A$2),"",IF($A860&lt;50,"n.a.",IF(COUNT(INDEX(StockDaily[Adjusted close],MAX(1,$A860-50+1)):E860)=50,AVERAGE(INDEX(StockDaily[Adjusted close],MAX(1,$A860-50+1)):E860),"n.a.")))</f>
        <v/>
      </c>
      <c r="G860" s="166" t="str">
        <f>IF($A860&gt;MIN($A$10,$A$2),"",IF($A860&lt;200,"n.a.",IF(COUNT(INDEX(StockDaily[Adjusted close],MAX(1,$A860-200+1)):E860)=200,AVERAGE(INDEX(StockDaily[Adjusted close],MAX(1,$A860-200+1)):E860),"n.a.")))</f>
        <v/>
      </c>
      <c r="H860" s="136" t="str">
        <f>IF($A860&gt;MIN($A$10,$A$2),"",IF($A$5="","Choose stock",IF(NOT($A$12),"Check split rule",IF(NOT(ISNUMBER(B860)),"Invalid date",IF(OR(B860&lt;=0,B860&lt;&gt;INT(B860)),"Invalid date",IF(COUNTIFS(DemoHistory[Date],B860)&lt;&gt;1,"Duplicate date",IF(AND($A860&gt;1,B860&lt;=B859),"Dates out of order",IF(NOT(ISNUMBER(C860)),"Missing price",IF(C860&lt;=0,"Nonpositive price","OK")))))))))</f>
        <v/>
      </c>
      <c r="I860" s="136"/>
      <c r="J860" s="136"/>
      <c r="K860" s="136"/>
      <c r="L860" s="136"/>
      <c r="M860" s="136"/>
      <c r="N860" s="136" t="e">
        <f t="shared" si="37"/>
        <v>#N/A</v>
      </c>
      <c r="O860" s="136" t="e">
        <f t="shared" si="38"/>
        <v>#N/A</v>
      </c>
    </row>
    <row r="861" spans="1:15" ht="22.05" customHeight="1" x14ac:dyDescent="0.3">
      <c r="A861" s="136">
        <v>817</v>
      </c>
      <c r="B861" s="165" t="str">
        <f>IF($A861&gt;MIN($A$10,$A$2),"",INDEX(DemoHistory[Date],$A861))</f>
        <v/>
      </c>
      <c r="C861" s="166" t="str">
        <f>IF(OR($A861&gt;MIN($A$10,$A$2),$A$5=""),"",INDEX(DemoHistory[],$A861,MATCH($A$5,DemoHistory[#Headers],0)))</f>
        <v/>
      </c>
      <c r="D861" s="166" t="str">
        <f>IF($A861&gt;MIN($A$10,$A$2),"",IF(AND($A$12,$A$6=1,B861&lt;$A$7,$A$7&lt;=MAX(DemoHistory[Date])),$A$8,1))</f>
        <v/>
      </c>
      <c r="E861" s="166" t="str">
        <f t="shared" si="36"/>
        <v/>
      </c>
      <c r="F861" s="166" t="str">
        <f>IF($A861&gt;MIN($A$10,$A$2),"",IF($A861&lt;50,"n.a.",IF(COUNT(INDEX(StockDaily[Adjusted close],MAX(1,$A861-50+1)):E861)=50,AVERAGE(INDEX(StockDaily[Adjusted close],MAX(1,$A861-50+1)):E861),"n.a.")))</f>
        <v/>
      </c>
      <c r="G861" s="166" t="str">
        <f>IF($A861&gt;MIN($A$10,$A$2),"",IF($A861&lt;200,"n.a.",IF(COUNT(INDEX(StockDaily[Adjusted close],MAX(1,$A861-200+1)):E861)=200,AVERAGE(INDEX(StockDaily[Adjusted close],MAX(1,$A861-200+1)):E861),"n.a.")))</f>
        <v/>
      </c>
      <c r="H861" s="136" t="str">
        <f>IF($A861&gt;MIN($A$10,$A$2),"",IF($A$5="","Choose stock",IF(NOT($A$12),"Check split rule",IF(NOT(ISNUMBER(B861)),"Invalid date",IF(OR(B861&lt;=0,B861&lt;&gt;INT(B861)),"Invalid date",IF(COUNTIFS(DemoHistory[Date],B861)&lt;&gt;1,"Duplicate date",IF(AND($A861&gt;1,B861&lt;=B860),"Dates out of order",IF(NOT(ISNUMBER(C861)),"Missing price",IF(C861&lt;=0,"Nonpositive price","OK")))))))))</f>
        <v/>
      </c>
      <c r="I861" s="136"/>
      <c r="J861" s="136"/>
      <c r="K861" s="136"/>
      <c r="L861" s="136"/>
      <c r="M861" s="136"/>
      <c r="N861" s="136" t="e">
        <f t="shared" si="37"/>
        <v>#N/A</v>
      </c>
      <c r="O861" s="136" t="e">
        <f t="shared" si="38"/>
        <v>#N/A</v>
      </c>
    </row>
    <row r="862" spans="1:15" ht="22.05" customHeight="1" x14ac:dyDescent="0.3">
      <c r="A862" s="136">
        <v>818</v>
      </c>
      <c r="B862" s="165" t="str">
        <f>IF($A862&gt;MIN($A$10,$A$2),"",INDEX(DemoHistory[Date],$A862))</f>
        <v/>
      </c>
      <c r="C862" s="166" t="str">
        <f>IF(OR($A862&gt;MIN($A$10,$A$2),$A$5=""),"",INDEX(DemoHistory[],$A862,MATCH($A$5,DemoHistory[#Headers],0)))</f>
        <v/>
      </c>
      <c r="D862" s="166" t="str">
        <f>IF($A862&gt;MIN($A$10,$A$2),"",IF(AND($A$12,$A$6=1,B862&lt;$A$7,$A$7&lt;=MAX(DemoHistory[Date])),$A$8,1))</f>
        <v/>
      </c>
      <c r="E862" s="166" t="str">
        <f t="shared" si="36"/>
        <v/>
      </c>
      <c r="F862" s="166" t="str">
        <f>IF($A862&gt;MIN($A$10,$A$2),"",IF($A862&lt;50,"n.a.",IF(COUNT(INDEX(StockDaily[Adjusted close],MAX(1,$A862-50+1)):E862)=50,AVERAGE(INDEX(StockDaily[Adjusted close],MAX(1,$A862-50+1)):E862),"n.a.")))</f>
        <v/>
      </c>
      <c r="G862" s="166" t="str">
        <f>IF($A862&gt;MIN($A$10,$A$2),"",IF($A862&lt;200,"n.a.",IF(COUNT(INDEX(StockDaily[Adjusted close],MAX(1,$A862-200+1)):E862)=200,AVERAGE(INDEX(StockDaily[Adjusted close],MAX(1,$A862-200+1)):E862),"n.a.")))</f>
        <v/>
      </c>
      <c r="H862" s="136" t="str">
        <f>IF($A862&gt;MIN($A$10,$A$2),"",IF($A$5="","Choose stock",IF(NOT($A$12),"Check split rule",IF(NOT(ISNUMBER(B862)),"Invalid date",IF(OR(B862&lt;=0,B862&lt;&gt;INT(B862)),"Invalid date",IF(COUNTIFS(DemoHistory[Date],B862)&lt;&gt;1,"Duplicate date",IF(AND($A862&gt;1,B862&lt;=B861),"Dates out of order",IF(NOT(ISNUMBER(C862)),"Missing price",IF(C862&lt;=0,"Nonpositive price","OK")))))))))</f>
        <v/>
      </c>
      <c r="I862" s="136"/>
      <c r="J862" s="136"/>
      <c r="K862" s="136"/>
      <c r="L862" s="136"/>
      <c r="M862" s="136"/>
      <c r="N862" s="136" t="e">
        <f t="shared" si="37"/>
        <v>#N/A</v>
      </c>
      <c r="O862" s="136" t="e">
        <f t="shared" si="38"/>
        <v>#N/A</v>
      </c>
    </row>
    <row r="863" spans="1:15" ht="22.05" customHeight="1" x14ac:dyDescent="0.3">
      <c r="A863" s="136">
        <v>819</v>
      </c>
      <c r="B863" s="165" t="str">
        <f>IF($A863&gt;MIN($A$10,$A$2),"",INDEX(DemoHistory[Date],$A863))</f>
        <v/>
      </c>
      <c r="C863" s="166" t="str">
        <f>IF(OR($A863&gt;MIN($A$10,$A$2),$A$5=""),"",INDEX(DemoHistory[],$A863,MATCH($A$5,DemoHistory[#Headers],0)))</f>
        <v/>
      </c>
      <c r="D863" s="166" t="str">
        <f>IF($A863&gt;MIN($A$10,$A$2),"",IF(AND($A$12,$A$6=1,B863&lt;$A$7,$A$7&lt;=MAX(DemoHistory[Date])),$A$8,1))</f>
        <v/>
      </c>
      <c r="E863" s="166" t="str">
        <f t="shared" si="36"/>
        <v/>
      </c>
      <c r="F863" s="166" t="str">
        <f>IF($A863&gt;MIN($A$10,$A$2),"",IF($A863&lt;50,"n.a.",IF(COUNT(INDEX(StockDaily[Adjusted close],MAX(1,$A863-50+1)):E863)=50,AVERAGE(INDEX(StockDaily[Adjusted close],MAX(1,$A863-50+1)):E863),"n.a.")))</f>
        <v/>
      </c>
      <c r="G863" s="166" t="str">
        <f>IF($A863&gt;MIN($A$10,$A$2),"",IF($A863&lt;200,"n.a.",IF(COUNT(INDEX(StockDaily[Adjusted close],MAX(1,$A863-200+1)):E863)=200,AVERAGE(INDEX(StockDaily[Adjusted close],MAX(1,$A863-200+1)):E863),"n.a.")))</f>
        <v/>
      </c>
      <c r="H863" s="136" t="str">
        <f>IF($A863&gt;MIN($A$10,$A$2),"",IF($A$5="","Choose stock",IF(NOT($A$12),"Check split rule",IF(NOT(ISNUMBER(B863)),"Invalid date",IF(OR(B863&lt;=0,B863&lt;&gt;INT(B863)),"Invalid date",IF(COUNTIFS(DemoHistory[Date],B863)&lt;&gt;1,"Duplicate date",IF(AND($A863&gt;1,B863&lt;=B862),"Dates out of order",IF(NOT(ISNUMBER(C863)),"Missing price",IF(C863&lt;=0,"Nonpositive price","OK")))))))))</f>
        <v/>
      </c>
      <c r="I863" s="136"/>
      <c r="J863" s="136"/>
      <c r="K863" s="136"/>
      <c r="L863" s="136"/>
      <c r="M863" s="136"/>
      <c r="N863" s="136" t="e">
        <f t="shared" si="37"/>
        <v>#N/A</v>
      </c>
      <c r="O863" s="136" t="e">
        <f t="shared" si="38"/>
        <v>#N/A</v>
      </c>
    </row>
    <row r="864" spans="1:15" ht="22.05" customHeight="1" x14ac:dyDescent="0.3">
      <c r="A864" s="136">
        <v>820</v>
      </c>
      <c r="B864" s="165" t="str">
        <f>IF($A864&gt;MIN($A$10,$A$2),"",INDEX(DemoHistory[Date],$A864))</f>
        <v/>
      </c>
      <c r="C864" s="166" t="str">
        <f>IF(OR($A864&gt;MIN($A$10,$A$2),$A$5=""),"",INDEX(DemoHistory[],$A864,MATCH($A$5,DemoHistory[#Headers],0)))</f>
        <v/>
      </c>
      <c r="D864" s="166" t="str">
        <f>IF($A864&gt;MIN($A$10,$A$2),"",IF(AND($A$12,$A$6=1,B864&lt;$A$7,$A$7&lt;=MAX(DemoHistory[Date])),$A$8,1))</f>
        <v/>
      </c>
      <c r="E864" s="166" t="str">
        <f t="shared" si="36"/>
        <v/>
      </c>
      <c r="F864" s="166" t="str">
        <f>IF($A864&gt;MIN($A$10,$A$2),"",IF($A864&lt;50,"n.a.",IF(COUNT(INDEX(StockDaily[Adjusted close],MAX(1,$A864-50+1)):E864)=50,AVERAGE(INDEX(StockDaily[Adjusted close],MAX(1,$A864-50+1)):E864),"n.a.")))</f>
        <v/>
      </c>
      <c r="G864" s="166" t="str">
        <f>IF($A864&gt;MIN($A$10,$A$2),"",IF($A864&lt;200,"n.a.",IF(COUNT(INDEX(StockDaily[Adjusted close],MAX(1,$A864-200+1)):E864)=200,AVERAGE(INDEX(StockDaily[Adjusted close],MAX(1,$A864-200+1)):E864),"n.a.")))</f>
        <v/>
      </c>
      <c r="H864" s="136" t="str">
        <f>IF($A864&gt;MIN($A$10,$A$2),"",IF($A$5="","Choose stock",IF(NOT($A$12),"Check split rule",IF(NOT(ISNUMBER(B864)),"Invalid date",IF(OR(B864&lt;=0,B864&lt;&gt;INT(B864)),"Invalid date",IF(COUNTIFS(DemoHistory[Date],B864)&lt;&gt;1,"Duplicate date",IF(AND($A864&gt;1,B864&lt;=B863),"Dates out of order",IF(NOT(ISNUMBER(C864)),"Missing price",IF(C864&lt;=0,"Nonpositive price","OK")))))))))</f>
        <v/>
      </c>
      <c r="I864" s="136"/>
      <c r="J864" s="136"/>
      <c r="K864" s="136"/>
      <c r="L864" s="136"/>
      <c r="M864" s="136"/>
      <c r="N864" s="136" t="e">
        <f t="shared" si="37"/>
        <v>#N/A</v>
      </c>
      <c r="O864" s="136" t="e">
        <f t="shared" si="38"/>
        <v>#N/A</v>
      </c>
    </row>
    <row r="865" spans="1:15" ht="22.05" customHeight="1" x14ac:dyDescent="0.3">
      <c r="A865" s="136">
        <v>821</v>
      </c>
      <c r="B865" s="165" t="str">
        <f>IF($A865&gt;MIN($A$10,$A$2),"",INDEX(DemoHistory[Date],$A865))</f>
        <v/>
      </c>
      <c r="C865" s="166" t="str">
        <f>IF(OR($A865&gt;MIN($A$10,$A$2),$A$5=""),"",INDEX(DemoHistory[],$A865,MATCH($A$5,DemoHistory[#Headers],0)))</f>
        <v/>
      </c>
      <c r="D865" s="166" t="str">
        <f>IF($A865&gt;MIN($A$10,$A$2),"",IF(AND($A$12,$A$6=1,B865&lt;$A$7,$A$7&lt;=MAX(DemoHistory[Date])),$A$8,1))</f>
        <v/>
      </c>
      <c r="E865" s="166" t="str">
        <f t="shared" si="36"/>
        <v/>
      </c>
      <c r="F865" s="166" t="str">
        <f>IF($A865&gt;MIN($A$10,$A$2),"",IF($A865&lt;50,"n.a.",IF(COUNT(INDEX(StockDaily[Adjusted close],MAX(1,$A865-50+1)):E865)=50,AVERAGE(INDEX(StockDaily[Adjusted close],MAX(1,$A865-50+1)):E865),"n.a.")))</f>
        <v/>
      </c>
      <c r="G865" s="166" t="str">
        <f>IF($A865&gt;MIN($A$10,$A$2),"",IF($A865&lt;200,"n.a.",IF(COUNT(INDEX(StockDaily[Adjusted close],MAX(1,$A865-200+1)):E865)=200,AVERAGE(INDEX(StockDaily[Adjusted close],MAX(1,$A865-200+1)):E865),"n.a.")))</f>
        <v/>
      </c>
      <c r="H865" s="136" t="str">
        <f>IF($A865&gt;MIN($A$10,$A$2),"",IF($A$5="","Choose stock",IF(NOT($A$12),"Check split rule",IF(NOT(ISNUMBER(B865)),"Invalid date",IF(OR(B865&lt;=0,B865&lt;&gt;INT(B865)),"Invalid date",IF(COUNTIFS(DemoHistory[Date],B865)&lt;&gt;1,"Duplicate date",IF(AND($A865&gt;1,B865&lt;=B864),"Dates out of order",IF(NOT(ISNUMBER(C865)),"Missing price",IF(C865&lt;=0,"Nonpositive price","OK")))))))))</f>
        <v/>
      </c>
      <c r="I865" s="136"/>
      <c r="J865" s="136"/>
      <c r="K865" s="136"/>
      <c r="L865" s="136"/>
      <c r="M865" s="136"/>
      <c r="N865" s="136" t="e">
        <f t="shared" si="37"/>
        <v>#N/A</v>
      </c>
      <c r="O865" s="136" t="e">
        <f t="shared" si="38"/>
        <v>#N/A</v>
      </c>
    </row>
    <row r="866" spans="1:15" ht="22.05" customHeight="1" x14ac:dyDescent="0.3">
      <c r="A866" s="136">
        <v>822</v>
      </c>
      <c r="B866" s="165" t="str">
        <f>IF($A866&gt;MIN($A$10,$A$2),"",INDEX(DemoHistory[Date],$A866))</f>
        <v/>
      </c>
      <c r="C866" s="166" t="str">
        <f>IF(OR($A866&gt;MIN($A$10,$A$2),$A$5=""),"",INDEX(DemoHistory[],$A866,MATCH($A$5,DemoHistory[#Headers],0)))</f>
        <v/>
      </c>
      <c r="D866" s="166" t="str">
        <f>IF($A866&gt;MIN($A$10,$A$2),"",IF(AND($A$12,$A$6=1,B866&lt;$A$7,$A$7&lt;=MAX(DemoHistory[Date])),$A$8,1))</f>
        <v/>
      </c>
      <c r="E866" s="166" t="str">
        <f t="shared" si="36"/>
        <v/>
      </c>
      <c r="F866" s="166" t="str">
        <f>IF($A866&gt;MIN($A$10,$A$2),"",IF($A866&lt;50,"n.a.",IF(COUNT(INDEX(StockDaily[Adjusted close],MAX(1,$A866-50+1)):E866)=50,AVERAGE(INDEX(StockDaily[Adjusted close],MAX(1,$A866-50+1)):E866),"n.a.")))</f>
        <v/>
      </c>
      <c r="G866" s="166" t="str">
        <f>IF($A866&gt;MIN($A$10,$A$2),"",IF($A866&lt;200,"n.a.",IF(COUNT(INDEX(StockDaily[Adjusted close],MAX(1,$A866-200+1)):E866)=200,AVERAGE(INDEX(StockDaily[Adjusted close],MAX(1,$A866-200+1)):E866),"n.a.")))</f>
        <v/>
      </c>
      <c r="H866" s="136" t="str">
        <f>IF($A866&gt;MIN($A$10,$A$2),"",IF($A$5="","Choose stock",IF(NOT($A$12),"Check split rule",IF(NOT(ISNUMBER(B866)),"Invalid date",IF(OR(B866&lt;=0,B866&lt;&gt;INT(B866)),"Invalid date",IF(COUNTIFS(DemoHistory[Date],B866)&lt;&gt;1,"Duplicate date",IF(AND($A866&gt;1,B866&lt;=B865),"Dates out of order",IF(NOT(ISNUMBER(C866)),"Missing price",IF(C866&lt;=0,"Nonpositive price","OK")))))))))</f>
        <v/>
      </c>
      <c r="I866" s="136"/>
      <c r="J866" s="136"/>
      <c r="K866" s="136"/>
      <c r="L866" s="136"/>
      <c r="M866" s="136"/>
      <c r="N866" s="136" t="e">
        <f t="shared" si="37"/>
        <v>#N/A</v>
      </c>
      <c r="O866" s="136" t="e">
        <f t="shared" si="38"/>
        <v>#N/A</v>
      </c>
    </row>
    <row r="867" spans="1:15" ht="22.05" customHeight="1" x14ac:dyDescent="0.3">
      <c r="A867" s="136">
        <v>823</v>
      </c>
      <c r="B867" s="165" t="str">
        <f>IF($A867&gt;MIN($A$10,$A$2),"",INDEX(DemoHistory[Date],$A867))</f>
        <v/>
      </c>
      <c r="C867" s="166" t="str">
        <f>IF(OR($A867&gt;MIN($A$10,$A$2),$A$5=""),"",INDEX(DemoHistory[],$A867,MATCH($A$5,DemoHistory[#Headers],0)))</f>
        <v/>
      </c>
      <c r="D867" s="166" t="str">
        <f>IF($A867&gt;MIN($A$10,$A$2),"",IF(AND($A$12,$A$6=1,B867&lt;$A$7,$A$7&lt;=MAX(DemoHistory[Date])),$A$8,1))</f>
        <v/>
      </c>
      <c r="E867" s="166" t="str">
        <f t="shared" si="36"/>
        <v/>
      </c>
      <c r="F867" s="166" t="str">
        <f>IF($A867&gt;MIN($A$10,$A$2),"",IF($A867&lt;50,"n.a.",IF(COUNT(INDEX(StockDaily[Adjusted close],MAX(1,$A867-50+1)):E867)=50,AVERAGE(INDEX(StockDaily[Adjusted close],MAX(1,$A867-50+1)):E867),"n.a.")))</f>
        <v/>
      </c>
      <c r="G867" s="166" t="str">
        <f>IF($A867&gt;MIN($A$10,$A$2),"",IF($A867&lt;200,"n.a.",IF(COUNT(INDEX(StockDaily[Adjusted close],MAX(1,$A867-200+1)):E867)=200,AVERAGE(INDEX(StockDaily[Adjusted close],MAX(1,$A867-200+1)):E867),"n.a.")))</f>
        <v/>
      </c>
      <c r="H867" s="136" t="str">
        <f>IF($A867&gt;MIN($A$10,$A$2),"",IF($A$5="","Choose stock",IF(NOT($A$12),"Check split rule",IF(NOT(ISNUMBER(B867)),"Invalid date",IF(OR(B867&lt;=0,B867&lt;&gt;INT(B867)),"Invalid date",IF(COUNTIFS(DemoHistory[Date],B867)&lt;&gt;1,"Duplicate date",IF(AND($A867&gt;1,B867&lt;=B866),"Dates out of order",IF(NOT(ISNUMBER(C867)),"Missing price",IF(C867&lt;=0,"Nonpositive price","OK")))))))))</f>
        <v/>
      </c>
      <c r="I867" s="136"/>
      <c r="J867" s="136"/>
      <c r="K867" s="136"/>
      <c r="L867" s="136"/>
      <c r="M867" s="136"/>
      <c r="N867" s="136" t="e">
        <f t="shared" si="37"/>
        <v>#N/A</v>
      </c>
      <c r="O867" s="136" t="e">
        <f t="shared" si="38"/>
        <v>#N/A</v>
      </c>
    </row>
    <row r="868" spans="1:15" ht="22.05" customHeight="1" x14ac:dyDescent="0.3">
      <c r="A868" s="136">
        <v>824</v>
      </c>
      <c r="B868" s="165" t="str">
        <f>IF($A868&gt;MIN($A$10,$A$2),"",INDEX(DemoHistory[Date],$A868))</f>
        <v/>
      </c>
      <c r="C868" s="166" t="str">
        <f>IF(OR($A868&gt;MIN($A$10,$A$2),$A$5=""),"",INDEX(DemoHistory[],$A868,MATCH($A$5,DemoHistory[#Headers],0)))</f>
        <v/>
      </c>
      <c r="D868" s="166" t="str">
        <f>IF($A868&gt;MIN($A$10,$A$2),"",IF(AND($A$12,$A$6=1,B868&lt;$A$7,$A$7&lt;=MAX(DemoHistory[Date])),$A$8,1))</f>
        <v/>
      </c>
      <c r="E868" s="166" t="str">
        <f t="shared" si="36"/>
        <v/>
      </c>
      <c r="F868" s="166" t="str">
        <f>IF($A868&gt;MIN($A$10,$A$2),"",IF($A868&lt;50,"n.a.",IF(COUNT(INDEX(StockDaily[Adjusted close],MAX(1,$A868-50+1)):E868)=50,AVERAGE(INDEX(StockDaily[Adjusted close],MAX(1,$A868-50+1)):E868),"n.a.")))</f>
        <v/>
      </c>
      <c r="G868" s="166" t="str">
        <f>IF($A868&gt;MIN($A$10,$A$2),"",IF($A868&lt;200,"n.a.",IF(COUNT(INDEX(StockDaily[Adjusted close],MAX(1,$A868-200+1)):E868)=200,AVERAGE(INDEX(StockDaily[Adjusted close],MAX(1,$A868-200+1)):E868),"n.a.")))</f>
        <v/>
      </c>
      <c r="H868" s="136" t="str">
        <f>IF($A868&gt;MIN($A$10,$A$2),"",IF($A$5="","Choose stock",IF(NOT($A$12),"Check split rule",IF(NOT(ISNUMBER(B868)),"Invalid date",IF(OR(B868&lt;=0,B868&lt;&gt;INT(B868)),"Invalid date",IF(COUNTIFS(DemoHistory[Date],B868)&lt;&gt;1,"Duplicate date",IF(AND($A868&gt;1,B868&lt;=B867),"Dates out of order",IF(NOT(ISNUMBER(C868)),"Missing price",IF(C868&lt;=0,"Nonpositive price","OK")))))))))</f>
        <v/>
      </c>
      <c r="I868" s="136"/>
      <c r="J868" s="136"/>
      <c r="K868" s="136"/>
      <c r="L868" s="136"/>
      <c r="M868" s="136"/>
      <c r="N868" s="136" t="e">
        <f t="shared" si="37"/>
        <v>#N/A</v>
      </c>
      <c r="O868" s="136" t="e">
        <f t="shared" si="38"/>
        <v>#N/A</v>
      </c>
    </row>
    <row r="869" spans="1:15" ht="22.05" customHeight="1" x14ac:dyDescent="0.3">
      <c r="A869" s="136">
        <v>825</v>
      </c>
      <c r="B869" s="165" t="str">
        <f>IF($A869&gt;MIN($A$10,$A$2),"",INDEX(DemoHistory[Date],$A869))</f>
        <v/>
      </c>
      <c r="C869" s="166" t="str">
        <f>IF(OR($A869&gt;MIN($A$10,$A$2),$A$5=""),"",INDEX(DemoHistory[],$A869,MATCH($A$5,DemoHistory[#Headers],0)))</f>
        <v/>
      </c>
      <c r="D869" s="166" t="str">
        <f>IF($A869&gt;MIN($A$10,$A$2),"",IF(AND($A$12,$A$6=1,B869&lt;$A$7,$A$7&lt;=MAX(DemoHistory[Date])),$A$8,1))</f>
        <v/>
      </c>
      <c r="E869" s="166" t="str">
        <f t="shared" si="36"/>
        <v/>
      </c>
      <c r="F869" s="166" t="str">
        <f>IF($A869&gt;MIN($A$10,$A$2),"",IF($A869&lt;50,"n.a.",IF(COUNT(INDEX(StockDaily[Adjusted close],MAX(1,$A869-50+1)):E869)=50,AVERAGE(INDEX(StockDaily[Adjusted close],MAX(1,$A869-50+1)):E869),"n.a.")))</f>
        <v/>
      </c>
      <c r="G869" s="166" t="str">
        <f>IF($A869&gt;MIN($A$10,$A$2),"",IF($A869&lt;200,"n.a.",IF(COUNT(INDEX(StockDaily[Adjusted close],MAX(1,$A869-200+1)):E869)=200,AVERAGE(INDEX(StockDaily[Adjusted close],MAX(1,$A869-200+1)):E869),"n.a.")))</f>
        <v/>
      </c>
      <c r="H869" s="136" t="str">
        <f>IF($A869&gt;MIN($A$10,$A$2),"",IF($A$5="","Choose stock",IF(NOT($A$12),"Check split rule",IF(NOT(ISNUMBER(B869)),"Invalid date",IF(OR(B869&lt;=0,B869&lt;&gt;INT(B869)),"Invalid date",IF(COUNTIFS(DemoHistory[Date],B869)&lt;&gt;1,"Duplicate date",IF(AND($A869&gt;1,B869&lt;=B868),"Dates out of order",IF(NOT(ISNUMBER(C869)),"Missing price",IF(C869&lt;=0,"Nonpositive price","OK")))))))))</f>
        <v/>
      </c>
      <c r="I869" s="136"/>
      <c r="J869" s="136"/>
      <c r="K869" s="136"/>
      <c r="L869" s="136"/>
      <c r="M869" s="136"/>
      <c r="N869" s="136" t="e">
        <f t="shared" si="37"/>
        <v>#N/A</v>
      </c>
      <c r="O869" s="136" t="e">
        <f t="shared" si="38"/>
        <v>#N/A</v>
      </c>
    </row>
    <row r="870" spans="1:15" ht="22.05" customHeight="1" x14ac:dyDescent="0.3">
      <c r="A870" s="136">
        <v>826</v>
      </c>
      <c r="B870" s="165" t="str">
        <f>IF($A870&gt;MIN($A$10,$A$2),"",INDEX(DemoHistory[Date],$A870))</f>
        <v/>
      </c>
      <c r="C870" s="166" t="str">
        <f>IF(OR($A870&gt;MIN($A$10,$A$2),$A$5=""),"",INDEX(DemoHistory[],$A870,MATCH($A$5,DemoHistory[#Headers],0)))</f>
        <v/>
      </c>
      <c r="D870" s="166" t="str">
        <f>IF($A870&gt;MIN($A$10,$A$2),"",IF(AND($A$12,$A$6=1,B870&lt;$A$7,$A$7&lt;=MAX(DemoHistory[Date])),$A$8,1))</f>
        <v/>
      </c>
      <c r="E870" s="166" t="str">
        <f t="shared" si="36"/>
        <v/>
      </c>
      <c r="F870" s="166" t="str">
        <f>IF($A870&gt;MIN($A$10,$A$2),"",IF($A870&lt;50,"n.a.",IF(COUNT(INDEX(StockDaily[Adjusted close],MAX(1,$A870-50+1)):E870)=50,AVERAGE(INDEX(StockDaily[Adjusted close],MAX(1,$A870-50+1)):E870),"n.a.")))</f>
        <v/>
      </c>
      <c r="G870" s="166" t="str">
        <f>IF($A870&gt;MIN($A$10,$A$2),"",IF($A870&lt;200,"n.a.",IF(COUNT(INDEX(StockDaily[Adjusted close],MAX(1,$A870-200+1)):E870)=200,AVERAGE(INDEX(StockDaily[Adjusted close],MAX(1,$A870-200+1)):E870),"n.a.")))</f>
        <v/>
      </c>
      <c r="H870" s="136" t="str">
        <f>IF($A870&gt;MIN($A$10,$A$2),"",IF($A$5="","Choose stock",IF(NOT($A$12),"Check split rule",IF(NOT(ISNUMBER(B870)),"Invalid date",IF(OR(B870&lt;=0,B870&lt;&gt;INT(B870)),"Invalid date",IF(COUNTIFS(DemoHistory[Date],B870)&lt;&gt;1,"Duplicate date",IF(AND($A870&gt;1,B870&lt;=B869),"Dates out of order",IF(NOT(ISNUMBER(C870)),"Missing price",IF(C870&lt;=0,"Nonpositive price","OK")))))))))</f>
        <v/>
      </c>
      <c r="I870" s="136"/>
      <c r="J870" s="136"/>
      <c r="K870" s="136"/>
      <c r="L870" s="136"/>
      <c r="M870" s="136"/>
      <c r="N870" s="136" t="e">
        <f t="shared" si="37"/>
        <v>#N/A</v>
      </c>
      <c r="O870" s="136" t="e">
        <f t="shared" si="38"/>
        <v>#N/A</v>
      </c>
    </row>
    <row r="871" spans="1:15" ht="22.05" customHeight="1" x14ac:dyDescent="0.3">
      <c r="A871" s="136">
        <v>827</v>
      </c>
      <c r="B871" s="165" t="str">
        <f>IF($A871&gt;MIN($A$10,$A$2),"",INDEX(DemoHistory[Date],$A871))</f>
        <v/>
      </c>
      <c r="C871" s="166" t="str">
        <f>IF(OR($A871&gt;MIN($A$10,$A$2),$A$5=""),"",INDEX(DemoHistory[],$A871,MATCH($A$5,DemoHistory[#Headers],0)))</f>
        <v/>
      </c>
      <c r="D871" s="166" t="str">
        <f>IF($A871&gt;MIN($A$10,$A$2),"",IF(AND($A$12,$A$6=1,B871&lt;$A$7,$A$7&lt;=MAX(DemoHistory[Date])),$A$8,1))</f>
        <v/>
      </c>
      <c r="E871" s="166" t="str">
        <f t="shared" si="36"/>
        <v/>
      </c>
      <c r="F871" s="166" t="str">
        <f>IF($A871&gt;MIN($A$10,$A$2),"",IF($A871&lt;50,"n.a.",IF(COUNT(INDEX(StockDaily[Adjusted close],MAX(1,$A871-50+1)):E871)=50,AVERAGE(INDEX(StockDaily[Adjusted close],MAX(1,$A871-50+1)):E871),"n.a.")))</f>
        <v/>
      </c>
      <c r="G871" s="166" t="str">
        <f>IF($A871&gt;MIN($A$10,$A$2),"",IF($A871&lt;200,"n.a.",IF(COUNT(INDEX(StockDaily[Adjusted close],MAX(1,$A871-200+1)):E871)=200,AVERAGE(INDEX(StockDaily[Adjusted close],MAX(1,$A871-200+1)):E871),"n.a.")))</f>
        <v/>
      </c>
      <c r="H871" s="136" t="str">
        <f>IF($A871&gt;MIN($A$10,$A$2),"",IF($A$5="","Choose stock",IF(NOT($A$12),"Check split rule",IF(NOT(ISNUMBER(B871)),"Invalid date",IF(OR(B871&lt;=0,B871&lt;&gt;INT(B871)),"Invalid date",IF(COUNTIFS(DemoHistory[Date],B871)&lt;&gt;1,"Duplicate date",IF(AND($A871&gt;1,B871&lt;=B870),"Dates out of order",IF(NOT(ISNUMBER(C871)),"Missing price",IF(C871&lt;=0,"Nonpositive price","OK")))))))))</f>
        <v/>
      </c>
      <c r="I871" s="136"/>
      <c r="J871" s="136"/>
      <c r="K871" s="136"/>
      <c r="L871" s="136"/>
      <c r="M871" s="136"/>
      <c r="N871" s="136" t="e">
        <f t="shared" si="37"/>
        <v>#N/A</v>
      </c>
      <c r="O871" s="136" t="e">
        <f t="shared" si="38"/>
        <v>#N/A</v>
      </c>
    </row>
    <row r="872" spans="1:15" ht="22.05" customHeight="1" x14ac:dyDescent="0.3">
      <c r="A872" s="136">
        <v>828</v>
      </c>
      <c r="B872" s="165" t="str">
        <f>IF($A872&gt;MIN($A$10,$A$2),"",INDEX(DemoHistory[Date],$A872))</f>
        <v/>
      </c>
      <c r="C872" s="166" t="str">
        <f>IF(OR($A872&gt;MIN($A$10,$A$2),$A$5=""),"",INDEX(DemoHistory[],$A872,MATCH($A$5,DemoHistory[#Headers],0)))</f>
        <v/>
      </c>
      <c r="D872" s="166" t="str">
        <f>IF($A872&gt;MIN($A$10,$A$2),"",IF(AND($A$12,$A$6=1,B872&lt;$A$7,$A$7&lt;=MAX(DemoHistory[Date])),$A$8,1))</f>
        <v/>
      </c>
      <c r="E872" s="166" t="str">
        <f t="shared" si="36"/>
        <v/>
      </c>
      <c r="F872" s="166" t="str">
        <f>IF($A872&gt;MIN($A$10,$A$2),"",IF($A872&lt;50,"n.a.",IF(COUNT(INDEX(StockDaily[Adjusted close],MAX(1,$A872-50+1)):E872)=50,AVERAGE(INDEX(StockDaily[Adjusted close],MAX(1,$A872-50+1)):E872),"n.a.")))</f>
        <v/>
      </c>
      <c r="G872" s="166" t="str">
        <f>IF($A872&gt;MIN($A$10,$A$2),"",IF($A872&lt;200,"n.a.",IF(COUNT(INDEX(StockDaily[Adjusted close],MAX(1,$A872-200+1)):E872)=200,AVERAGE(INDEX(StockDaily[Adjusted close],MAX(1,$A872-200+1)):E872),"n.a.")))</f>
        <v/>
      </c>
      <c r="H872" s="136" t="str">
        <f>IF($A872&gt;MIN($A$10,$A$2),"",IF($A$5="","Choose stock",IF(NOT($A$12),"Check split rule",IF(NOT(ISNUMBER(B872)),"Invalid date",IF(OR(B872&lt;=0,B872&lt;&gt;INT(B872)),"Invalid date",IF(COUNTIFS(DemoHistory[Date],B872)&lt;&gt;1,"Duplicate date",IF(AND($A872&gt;1,B872&lt;=B871),"Dates out of order",IF(NOT(ISNUMBER(C872)),"Missing price",IF(C872&lt;=0,"Nonpositive price","OK")))))))))</f>
        <v/>
      </c>
      <c r="I872" s="136"/>
      <c r="J872" s="136"/>
      <c r="K872" s="136"/>
      <c r="L872" s="136"/>
      <c r="M872" s="136"/>
      <c r="N872" s="136" t="e">
        <f t="shared" si="37"/>
        <v>#N/A</v>
      </c>
      <c r="O872" s="136" t="e">
        <f t="shared" si="38"/>
        <v>#N/A</v>
      </c>
    </row>
    <row r="873" spans="1:15" ht="22.05" customHeight="1" x14ac:dyDescent="0.3">
      <c r="A873" s="136">
        <v>829</v>
      </c>
      <c r="B873" s="165" t="str">
        <f>IF($A873&gt;MIN($A$10,$A$2),"",INDEX(DemoHistory[Date],$A873))</f>
        <v/>
      </c>
      <c r="C873" s="166" t="str">
        <f>IF(OR($A873&gt;MIN($A$10,$A$2),$A$5=""),"",INDEX(DemoHistory[],$A873,MATCH($A$5,DemoHistory[#Headers],0)))</f>
        <v/>
      </c>
      <c r="D873" s="166" t="str">
        <f>IF($A873&gt;MIN($A$10,$A$2),"",IF(AND($A$12,$A$6=1,B873&lt;$A$7,$A$7&lt;=MAX(DemoHistory[Date])),$A$8,1))</f>
        <v/>
      </c>
      <c r="E873" s="166" t="str">
        <f t="shared" si="36"/>
        <v/>
      </c>
      <c r="F873" s="166" t="str">
        <f>IF($A873&gt;MIN($A$10,$A$2),"",IF($A873&lt;50,"n.a.",IF(COUNT(INDEX(StockDaily[Adjusted close],MAX(1,$A873-50+1)):E873)=50,AVERAGE(INDEX(StockDaily[Adjusted close],MAX(1,$A873-50+1)):E873),"n.a.")))</f>
        <v/>
      </c>
      <c r="G873" s="166" t="str">
        <f>IF($A873&gt;MIN($A$10,$A$2),"",IF($A873&lt;200,"n.a.",IF(COUNT(INDEX(StockDaily[Adjusted close],MAX(1,$A873-200+1)):E873)=200,AVERAGE(INDEX(StockDaily[Adjusted close],MAX(1,$A873-200+1)):E873),"n.a.")))</f>
        <v/>
      </c>
      <c r="H873" s="136" t="str">
        <f>IF($A873&gt;MIN($A$10,$A$2),"",IF($A$5="","Choose stock",IF(NOT($A$12),"Check split rule",IF(NOT(ISNUMBER(B873)),"Invalid date",IF(OR(B873&lt;=0,B873&lt;&gt;INT(B873)),"Invalid date",IF(COUNTIFS(DemoHistory[Date],B873)&lt;&gt;1,"Duplicate date",IF(AND($A873&gt;1,B873&lt;=B872),"Dates out of order",IF(NOT(ISNUMBER(C873)),"Missing price",IF(C873&lt;=0,"Nonpositive price","OK")))))))))</f>
        <v/>
      </c>
      <c r="I873" s="136"/>
      <c r="J873" s="136"/>
      <c r="K873" s="136"/>
      <c r="L873" s="136"/>
      <c r="M873" s="136"/>
      <c r="N873" s="136" t="e">
        <f t="shared" si="37"/>
        <v>#N/A</v>
      </c>
      <c r="O873" s="136" t="e">
        <f t="shared" si="38"/>
        <v>#N/A</v>
      </c>
    </row>
    <row r="874" spans="1:15" ht="22.05" customHeight="1" x14ac:dyDescent="0.3">
      <c r="A874" s="136">
        <v>830</v>
      </c>
      <c r="B874" s="165" t="str">
        <f>IF($A874&gt;MIN($A$10,$A$2),"",INDEX(DemoHistory[Date],$A874))</f>
        <v/>
      </c>
      <c r="C874" s="166" t="str">
        <f>IF(OR($A874&gt;MIN($A$10,$A$2),$A$5=""),"",INDEX(DemoHistory[],$A874,MATCH($A$5,DemoHistory[#Headers],0)))</f>
        <v/>
      </c>
      <c r="D874" s="166" t="str">
        <f>IF($A874&gt;MIN($A$10,$A$2),"",IF(AND($A$12,$A$6=1,B874&lt;$A$7,$A$7&lt;=MAX(DemoHistory[Date])),$A$8,1))</f>
        <v/>
      </c>
      <c r="E874" s="166" t="str">
        <f t="shared" si="36"/>
        <v/>
      </c>
      <c r="F874" s="166" t="str">
        <f>IF($A874&gt;MIN($A$10,$A$2),"",IF($A874&lt;50,"n.a.",IF(COUNT(INDEX(StockDaily[Adjusted close],MAX(1,$A874-50+1)):E874)=50,AVERAGE(INDEX(StockDaily[Adjusted close],MAX(1,$A874-50+1)):E874),"n.a.")))</f>
        <v/>
      </c>
      <c r="G874" s="166" t="str">
        <f>IF($A874&gt;MIN($A$10,$A$2),"",IF($A874&lt;200,"n.a.",IF(COUNT(INDEX(StockDaily[Adjusted close],MAX(1,$A874-200+1)):E874)=200,AVERAGE(INDEX(StockDaily[Adjusted close],MAX(1,$A874-200+1)):E874),"n.a.")))</f>
        <v/>
      </c>
      <c r="H874" s="136" t="str">
        <f>IF($A874&gt;MIN($A$10,$A$2),"",IF($A$5="","Choose stock",IF(NOT($A$12),"Check split rule",IF(NOT(ISNUMBER(B874)),"Invalid date",IF(OR(B874&lt;=0,B874&lt;&gt;INT(B874)),"Invalid date",IF(COUNTIFS(DemoHistory[Date],B874)&lt;&gt;1,"Duplicate date",IF(AND($A874&gt;1,B874&lt;=B873),"Dates out of order",IF(NOT(ISNUMBER(C874)),"Missing price",IF(C874&lt;=0,"Nonpositive price","OK")))))))))</f>
        <v/>
      </c>
      <c r="I874" s="136"/>
      <c r="J874" s="136"/>
      <c r="K874" s="136"/>
      <c r="L874" s="136"/>
      <c r="M874" s="136"/>
      <c r="N874" s="136" t="e">
        <f t="shared" si="37"/>
        <v>#N/A</v>
      </c>
      <c r="O874" s="136" t="e">
        <f t="shared" si="38"/>
        <v>#N/A</v>
      </c>
    </row>
    <row r="875" spans="1:15" ht="22.05" customHeight="1" x14ac:dyDescent="0.3">
      <c r="A875" s="136">
        <v>831</v>
      </c>
      <c r="B875" s="165" t="str">
        <f>IF($A875&gt;MIN($A$10,$A$2),"",INDEX(DemoHistory[Date],$A875))</f>
        <v/>
      </c>
      <c r="C875" s="166" t="str">
        <f>IF(OR($A875&gt;MIN($A$10,$A$2),$A$5=""),"",INDEX(DemoHistory[],$A875,MATCH($A$5,DemoHistory[#Headers],0)))</f>
        <v/>
      </c>
      <c r="D875" s="166" t="str">
        <f>IF($A875&gt;MIN($A$10,$A$2),"",IF(AND($A$12,$A$6=1,B875&lt;$A$7,$A$7&lt;=MAX(DemoHistory[Date])),$A$8,1))</f>
        <v/>
      </c>
      <c r="E875" s="166" t="str">
        <f t="shared" si="36"/>
        <v/>
      </c>
      <c r="F875" s="166" t="str">
        <f>IF($A875&gt;MIN($A$10,$A$2),"",IF($A875&lt;50,"n.a.",IF(COUNT(INDEX(StockDaily[Adjusted close],MAX(1,$A875-50+1)):E875)=50,AVERAGE(INDEX(StockDaily[Adjusted close],MAX(1,$A875-50+1)):E875),"n.a.")))</f>
        <v/>
      </c>
      <c r="G875" s="166" t="str">
        <f>IF($A875&gt;MIN($A$10,$A$2),"",IF($A875&lt;200,"n.a.",IF(COUNT(INDEX(StockDaily[Adjusted close],MAX(1,$A875-200+1)):E875)=200,AVERAGE(INDEX(StockDaily[Adjusted close],MAX(1,$A875-200+1)):E875),"n.a.")))</f>
        <v/>
      </c>
      <c r="H875" s="136" t="str">
        <f>IF($A875&gt;MIN($A$10,$A$2),"",IF($A$5="","Choose stock",IF(NOT($A$12),"Check split rule",IF(NOT(ISNUMBER(B875)),"Invalid date",IF(OR(B875&lt;=0,B875&lt;&gt;INT(B875)),"Invalid date",IF(COUNTIFS(DemoHistory[Date],B875)&lt;&gt;1,"Duplicate date",IF(AND($A875&gt;1,B875&lt;=B874),"Dates out of order",IF(NOT(ISNUMBER(C875)),"Missing price",IF(C875&lt;=0,"Nonpositive price","OK")))))))))</f>
        <v/>
      </c>
      <c r="I875" s="136"/>
      <c r="J875" s="136"/>
      <c r="K875" s="136"/>
      <c r="L875" s="136"/>
      <c r="M875" s="136"/>
      <c r="N875" s="136" t="e">
        <f t="shared" si="37"/>
        <v>#N/A</v>
      </c>
      <c r="O875" s="136" t="e">
        <f t="shared" si="38"/>
        <v>#N/A</v>
      </c>
    </row>
    <row r="876" spans="1:15" ht="22.05" customHeight="1" x14ac:dyDescent="0.3">
      <c r="A876" s="136">
        <v>832</v>
      </c>
      <c r="B876" s="165" t="str">
        <f>IF($A876&gt;MIN($A$10,$A$2),"",INDEX(DemoHistory[Date],$A876))</f>
        <v/>
      </c>
      <c r="C876" s="166" t="str">
        <f>IF(OR($A876&gt;MIN($A$10,$A$2),$A$5=""),"",INDEX(DemoHistory[],$A876,MATCH($A$5,DemoHistory[#Headers],0)))</f>
        <v/>
      </c>
      <c r="D876" s="166" t="str">
        <f>IF($A876&gt;MIN($A$10,$A$2),"",IF(AND($A$12,$A$6=1,B876&lt;$A$7,$A$7&lt;=MAX(DemoHistory[Date])),$A$8,1))</f>
        <v/>
      </c>
      <c r="E876" s="166" t="str">
        <f t="shared" si="36"/>
        <v/>
      </c>
      <c r="F876" s="166" t="str">
        <f>IF($A876&gt;MIN($A$10,$A$2),"",IF($A876&lt;50,"n.a.",IF(COUNT(INDEX(StockDaily[Adjusted close],MAX(1,$A876-50+1)):E876)=50,AVERAGE(INDEX(StockDaily[Adjusted close],MAX(1,$A876-50+1)):E876),"n.a.")))</f>
        <v/>
      </c>
      <c r="G876" s="166" t="str">
        <f>IF($A876&gt;MIN($A$10,$A$2),"",IF($A876&lt;200,"n.a.",IF(COUNT(INDEX(StockDaily[Adjusted close],MAX(1,$A876-200+1)):E876)=200,AVERAGE(INDEX(StockDaily[Adjusted close],MAX(1,$A876-200+1)):E876),"n.a.")))</f>
        <v/>
      </c>
      <c r="H876" s="136" t="str">
        <f>IF($A876&gt;MIN($A$10,$A$2),"",IF($A$5="","Choose stock",IF(NOT($A$12),"Check split rule",IF(NOT(ISNUMBER(B876)),"Invalid date",IF(OR(B876&lt;=0,B876&lt;&gt;INT(B876)),"Invalid date",IF(COUNTIFS(DemoHistory[Date],B876)&lt;&gt;1,"Duplicate date",IF(AND($A876&gt;1,B876&lt;=B875),"Dates out of order",IF(NOT(ISNUMBER(C876)),"Missing price",IF(C876&lt;=0,"Nonpositive price","OK")))))))))</f>
        <v/>
      </c>
      <c r="I876" s="136"/>
      <c r="J876" s="136"/>
      <c r="K876" s="136"/>
      <c r="L876" s="136"/>
      <c r="M876" s="136"/>
      <c r="N876" s="136" t="e">
        <f t="shared" si="37"/>
        <v>#N/A</v>
      </c>
      <c r="O876" s="136" t="e">
        <f t="shared" si="38"/>
        <v>#N/A</v>
      </c>
    </row>
    <row r="877" spans="1:15" ht="22.05" customHeight="1" x14ac:dyDescent="0.3">
      <c r="A877" s="136">
        <v>833</v>
      </c>
      <c r="B877" s="165" t="str">
        <f>IF($A877&gt;MIN($A$10,$A$2),"",INDEX(DemoHistory[Date],$A877))</f>
        <v/>
      </c>
      <c r="C877" s="166" t="str">
        <f>IF(OR($A877&gt;MIN($A$10,$A$2),$A$5=""),"",INDEX(DemoHistory[],$A877,MATCH($A$5,DemoHistory[#Headers],0)))</f>
        <v/>
      </c>
      <c r="D877" s="166" t="str">
        <f>IF($A877&gt;MIN($A$10,$A$2),"",IF(AND($A$12,$A$6=1,B877&lt;$A$7,$A$7&lt;=MAX(DemoHistory[Date])),$A$8,1))</f>
        <v/>
      </c>
      <c r="E877" s="166" t="str">
        <f t="shared" ref="E877:E940" si="39">IF($A877&gt;MIN($A$10,$A$2),"",IF(H877="OK",C877/D877,"n.a."))</f>
        <v/>
      </c>
      <c r="F877" s="166" t="str">
        <f>IF($A877&gt;MIN($A$10,$A$2),"",IF($A877&lt;50,"n.a.",IF(COUNT(INDEX(StockDaily[Adjusted close],MAX(1,$A877-50+1)):E877)=50,AVERAGE(INDEX(StockDaily[Adjusted close],MAX(1,$A877-50+1)):E877),"n.a.")))</f>
        <v/>
      </c>
      <c r="G877" s="166" t="str">
        <f>IF($A877&gt;MIN($A$10,$A$2),"",IF($A877&lt;200,"n.a.",IF(COUNT(INDEX(StockDaily[Adjusted close],MAX(1,$A877-200+1)):E877)=200,AVERAGE(INDEX(StockDaily[Adjusted close],MAX(1,$A877-200+1)):E877),"n.a.")))</f>
        <v/>
      </c>
      <c r="H877" s="136" t="str">
        <f>IF($A877&gt;MIN($A$10,$A$2),"",IF($A$5="","Choose stock",IF(NOT($A$12),"Check split rule",IF(NOT(ISNUMBER(B877)),"Invalid date",IF(OR(B877&lt;=0,B877&lt;&gt;INT(B877)),"Invalid date",IF(COUNTIFS(DemoHistory[Date],B877)&lt;&gt;1,"Duplicate date",IF(AND($A877&gt;1,B877&lt;=B876),"Dates out of order",IF(NOT(ISNUMBER(C877)),"Missing price",IF(C877&lt;=0,"Nonpositive price","OK")))))))))</f>
        <v/>
      </c>
      <c r="I877" s="136"/>
      <c r="J877" s="136"/>
      <c r="K877" s="136"/>
      <c r="L877" s="136"/>
      <c r="M877" s="136"/>
      <c r="N877" s="136" t="e">
        <f t="shared" ref="N877:N940" si="40">IF(AND($A$13="Ready",ISNUMBER(E877)),E877,NA())</f>
        <v>#N/A</v>
      </c>
      <c r="O877" s="136" t="e">
        <f t="shared" ref="O877:O940" si="41">IF(AND($A$13="Ready",ISNUMBER(F877)),F877,NA())</f>
        <v>#N/A</v>
      </c>
    </row>
    <row r="878" spans="1:15" ht="22.05" customHeight="1" x14ac:dyDescent="0.3">
      <c r="A878" s="136">
        <v>834</v>
      </c>
      <c r="B878" s="165" t="str">
        <f>IF($A878&gt;MIN($A$10,$A$2),"",INDEX(DemoHistory[Date],$A878))</f>
        <v/>
      </c>
      <c r="C878" s="166" t="str">
        <f>IF(OR($A878&gt;MIN($A$10,$A$2),$A$5=""),"",INDEX(DemoHistory[],$A878,MATCH($A$5,DemoHistory[#Headers],0)))</f>
        <v/>
      </c>
      <c r="D878" s="166" t="str">
        <f>IF($A878&gt;MIN($A$10,$A$2),"",IF(AND($A$12,$A$6=1,B878&lt;$A$7,$A$7&lt;=MAX(DemoHistory[Date])),$A$8,1))</f>
        <v/>
      </c>
      <c r="E878" s="166" t="str">
        <f t="shared" si="39"/>
        <v/>
      </c>
      <c r="F878" s="166" t="str">
        <f>IF($A878&gt;MIN($A$10,$A$2),"",IF($A878&lt;50,"n.a.",IF(COUNT(INDEX(StockDaily[Adjusted close],MAX(1,$A878-50+1)):E878)=50,AVERAGE(INDEX(StockDaily[Adjusted close],MAX(1,$A878-50+1)):E878),"n.a.")))</f>
        <v/>
      </c>
      <c r="G878" s="166" t="str">
        <f>IF($A878&gt;MIN($A$10,$A$2),"",IF($A878&lt;200,"n.a.",IF(COUNT(INDEX(StockDaily[Adjusted close],MAX(1,$A878-200+1)):E878)=200,AVERAGE(INDEX(StockDaily[Adjusted close],MAX(1,$A878-200+1)):E878),"n.a.")))</f>
        <v/>
      </c>
      <c r="H878" s="136" t="str">
        <f>IF($A878&gt;MIN($A$10,$A$2),"",IF($A$5="","Choose stock",IF(NOT($A$12),"Check split rule",IF(NOT(ISNUMBER(B878)),"Invalid date",IF(OR(B878&lt;=0,B878&lt;&gt;INT(B878)),"Invalid date",IF(COUNTIFS(DemoHistory[Date],B878)&lt;&gt;1,"Duplicate date",IF(AND($A878&gt;1,B878&lt;=B877),"Dates out of order",IF(NOT(ISNUMBER(C878)),"Missing price",IF(C878&lt;=0,"Nonpositive price","OK")))))))))</f>
        <v/>
      </c>
      <c r="I878" s="136"/>
      <c r="J878" s="136"/>
      <c r="K878" s="136"/>
      <c r="L878" s="136"/>
      <c r="M878" s="136"/>
      <c r="N878" s="136" t="e">
        <f t="shared" si="40"/>
        <v>#N/A</v>
      </c>
      <c r="O878" s="136" t="e">
        <f t="shared" si="41"/>
        <v>#N/A</v>
      </c>
    </row>
    <row r="879" spans="1:15" ht="22.05" customHeight="1" x14ac:dyDescent="0.3">
      <c r="A879" s="136">
        <v>835</v>
      </c>
      <c r="B879" s="165" t="str">
        <f>IF($A879&gt;MIN($A$10,$A$2),"",INDEX(DemoHistory[Date],$A879))</f>
        <v/>
      </c>
      <c r="C879" s="166" t="str">
        <f>IF(OR($A879&gt;MIN($A$10,$A$2),$A$5=""),"",INDEX(DemoHistory[],$A879,MATCH($A$5,DemoHistory[#Headers],0)))</f>
        <v/>
      </c>
      <c r="D879" s="166" t="str">
        <f>IF($A879&gt;MIN($A$10,$A$2),"",IF(AND($A$12,$A$6=1,B879&lt;$A$7,$A$7&lt;=MAX(DemoHistory[Date])),$A$8,1))</f>
        <v/>
      </c>
      <c r="E879" s="166" t="str">
        <f t="shared" si="39"/>
        <v/>
      </c>
      <c r="F879" s="166" t="str">
        <f>IF($A879&gt;MIN($A$10,$A$2),"",IF($A879&lt;50,"n.a.",IF(COUNT(INDEX(StockDaily[Adjusted close],MAX(1,$A879-50+1)):E879)=50,AVERAGE(INDEX(StockDaily[Adjusted close],MAX(1,$A879-50+1)):E879),"n.a.")))</f>
        <v/>
      </c>
      <c r="G879" s="166" t="str">
        <f>IF($A879&gt;MIN($A$10,$A$2),"",IF($A879&lt;200,"n.a.",IF(COUNT(INDEX(StockDaily[Adjusted close],MAX(1,$A879-200+1)):E879)=200,AVERAGE(INDEX(StockDaily[Adjusted close],MAX(1,$A879-200+1)):E879),"n.a.")))</f>
        <v/>
      </c>
      <c r="H879" s="136" t="str">
        <f>IF($A879&gt;MIN($A$10,$A$2),"",IF($A$5="","Choose stock",IF(NOT($A$12),"Check split rule",IF(NOT(ISNUMBER(B879)),"Invalid date",IF(OR(B879&lt;=0,B879&lt;&gt;INT(B879)),"Invalid date",IF(COUNTIFS(DemoHistory[Date],B879)&lt;&gt;1,"Duplicate date",IF(AND($A879&gt;1,B879&lt;=B878),"Dates out of order",IF(NOT(ISNUMBER(C879)),"Missing price",IF(C879&lt;=0,"Nonpositive price","OK")))))))))</f>
        <v/>
      </c>
      <c r="I879" s="136"/>
      <c r="J879" s="136"/>
      <c r="K879" s="136"/>
      <c r="L879" s="136"/>
      <c r="M879" s="136"/>
      <c r="N879" s="136" t="e">
        <f t="shared" si="40"/>
        <v>#N/A</v>
      </c>
      <c r="O879" s="136" t="e">
        <f t="shared" si="41"/>
        <v>#N/A</v>
      </c>
    </row>
    <row r="880" spans="1:15" ht="22.05" customHeight="1" x14ac:dyDescent="0.3">
      <c r="A880" s="136">
        <v>836</v>
      </c>
      <c r="B880" s="165" t="str">
        <f>IF($A880&gt;MIN($A$10,$A$2),"",INDEX(DemoHistory[Date],$A880))</f>
        <v/>
      </c>
      <c r="C880" s="166" t="str">
        <f>IF(OR($A880&gt;MIN($A$10,$A$2),$A$5=""),"",INDEX(DemoHistory[],$A880,MATCH($A$5,DemoHistory[#Headers],0)))</f>
        <v/>
      </c>
      <c r="D880" s="166" t="str">
        <f>IF($A880&gt;MIN($A$10,$A$2),"",IF(AND($A$12,$A$6=1,B880&lt;$A$7,$A$7&lt;=MAX(DemoHistory[Date])),$A$8,1))</f>
        <v/>
      </c>
      <c r="E880" s="166" t="str">
        <f t="shared" si="39"/>
        <v/>
      </c>
      <c r="F880" s="166" t="str">
        <f>IF($A880&gt;MIN($A$10,$A$2),"",IF($A880&lt;50,"n.a.",IF(COUNT(INDEX(StockDaily[Adjusted close],MAX(1,$A880-50+1)):E880)=50,AVERAGE(INDEX(StockDaily[Adjusted close],MAX(1,$A880-50+1)):E880),"n.a.")))</f>
        <v/>
      </c>
      <c r="G880" s="166" t="str">
        <f>IF($A880&gt;MIN($A$10,$A$2),"",IF($A880&lt;200,"n.a.",IF(COUNT(INDEX(StockDaily[Adjusted close],MAX(1,$A880-200+1)):E880)=200,AVERAGE(INDEX(StockDaily[Adjusted close],MAX(1,$A880-200+1)):E880),"n.a.")))</f>
        <v/>
      </c>
      <c r="H880" s="136" t="str">
        <f>IF($A880&gt;MIN($A$10,$A$2),"",IF($A$5="","Choose stock",IF(NOT($A$12),"Check split rule",IF(NOT(ISNUMBER(B880)),"Invalid date",IF(OR(B880&lt;=0,B880&lt;&gt;INT(B880)),"Invalid date",IF(COUNTIFS(DemoHistory[Date],B880)&lt;&gt;1,"Duplicate date",IF(AND($A880&gt;1,B880&lt;=B879),"Dates out of order",IF(NOT(ISNUMBER(C880)),"Missing price",IF(C880&lt;=0,"Nonpositive price","OK")))))))))</f>
        <v/>
      </c>
      <c r="I880" s="136"/>
      <c r="J880" s="136"/>
      <c r="K880" s="136"/>
      <c r="L880" s="136"/>
      <c r="M880" s="136"/>
      <c r="N880" s="136" t="e">
        <f t="shared" si="40"/>
        <v>#N/A</v>
      </c>
      <c r="O880" s="136" t="e">
        <f t="shared" si="41"/>
        <v>#N/A</v>
      </c>
    </row>
    <row r="881" spans="1:15" ht="22.05" customHeight="1" x14ac:dyDescent="0.3">
      <c r="A881" s="136">
        <v>837</v>
      </c>
      <c r="B881" s="165" t="str">
        <f>IF($A881&gt;MIN($A$10,$A$2),"",INDEX(DemoHistory[Date],$A881))</f>
        <v/>
      </c>
      <c r="C881" s="166" t="str">
        <f>IF(OR($A881&gt;MIN($A$10,$A$2),$A$5=""),"",INDEX(DemoHistory[],$A881,MATCH($A$5,DemoHistory[#Headers],0)))</f>
        <v/>
      </c>
      <c r="D881" s="166" t="str">
        <f>IF($A881&gt;MIN($A$10,$A$2),"",IF(AND($A$12,$A$6=1,B881&lt;$A$7,$A$7&lt;=MAX(DemoHistory[Date])),$A$8,1))</f>
        <v/>
      </c>
      <c r="E881" s="166" t="str">
        <f t="shared" si="39"/>
        <v/>
      </c>
      <c r="F881" s="166" t="str">
        <f>IF($A881&gt;MIN($A$10,$A$2),"",IF($A881&lt;50,"n.a.",IF(COUNT(INDEX(StockDaily[Adjusted close],MAX(1,$A881-50+1)):E881)=50,AVERAGE(INDEX(StockDaily[Adjusted close],MAX(1,$A881-50+1)):E881),"n.a.")))</f>
        <v/>
      </c>
      <c r="G881" s="166" t="str">
        <f>IF($A881&gt;MIN($A$10,$A$2),"",IF($A881&lt;200,"n.a.",IF(COUNT(INDEX(StockDaily[Adjusted close],MAX(1,$A881-200+1)):E881)=200,AVERAGE(INDEX(StockDaily[Adjusted close],MAX(1,$A881-200+1)):E881),"n.a.")))</f>
        <v/>
      </c>
      <c r="H881" s="136" t="str">
        <f>IF($A881&gt;MIN($A$10,$A$2),"",IF($A$5="","Choose stock",IF(NOT($A$12),"Check split rule",IF(NOT(ISNUMBER(B881)),"Invalid date",IF(OR(B881&lt;=0,B881&lt;&gt;INT(B881)),"Invalid date",IF(COUNTIFS(DemoHistory[Date],B881)&lt;&gt;1,"Duplicate date",IF(AND($A881&gt;1,B881&lt;=B880),"Dates out of order",IF(NOT(ISNUMBER(C881)),"Missing price",IF(C881&lt;=0,"Nonpositive price","OK")))))))))</f>
        <v/>
      </c>
      <c r="I881" s="136"/>
      <c r="J881" s="136"/>
      <c r="K881" s="136"/>
      <c r="L881" s="136"/>
      <c r="M881" s="136"/>
      <c r="N881" s="136" t="e">
        <f t="shared" si="40"/>
        <v>#N/A</v>
      </c>
      <c r="O881" s="136" t="e">
        <f t="shared" si="41"/>
        <v>#N/A</v>
      </c>
    </row>
    <row r="882" spans="1:15" ht="22.05" customHeight="1" x14ac:dyDescent="0.3">
      <c r="A882" s="136">
        <v>838</v>
      </c>
      <c r="B882" s="165" t="str">
        <f>IF($A882&gt;MIN($A$10,$A$2),"",INDEX(DemoHistory[Date],$A882))</f>
        <v/>
      </c>
      <c r="C882" s="166" t="str">
        <f>IF(OR($A882&gt;MIN($A$10,$A$2),$A$5=""),"",INDEX(DemoHistory[],$A882,MATCH($A$5,DemoHistory[#Headers],0)))</f>
        <v/>
      </c>
      <c r="D882" s="166" t="str">
        <f>IF($A882&gt;MIN($A$10,$A$2),"",IF(AND($A$12,$A$6=1,B882&lt;$A$7,$A$7&lt;=MAX(DemoHistory[Date])),$A$8,1))</f>
        <v/>
      </c>
      <c r="E882" s="166" t="str">
        <f t="shared" si="39"/>
        <v/>
      </c>
      <c r="F882" s="166" t="str">
        <f>IF($A882&gt;MIN($A$10,$A$2),"",IF($A882&lt;50,"n.a.",IF(COUNT(INDEX(StockDaily[Adjusted close],MAX(1,$A882-50+1)):E882)=50,AVERAGE(INDEX(StockDaily[Adjusted close],MAX(1,$A882-50+1)):E882),"n.a.")))</f>
        <v/>
      </c>
      <c r="G882" s="166" t="str">
        <f>IF($A882&gt;MIN($A$10,$A$2),"",IF($A882&lt;200,"n.a.",IF(COUNT(INDEX(StockDaily[Adjusted close],MAX(1,$A882-200+1)):E882)=200,AVERAGE(INDEX(StockDaily[Adjusted close],MAX(1,$A882-200+1)):E882),"n.a.")))</f>
        <v/>
      </c>
      <c r="H882" s="136" t="str">
        <f>IF($A882&gt;MIN($A$10,$A$2),"",IF($A$5="","Choose stock",IF(NOT($A$12),"Check split rule",IF(NOT(ISNUMBER(B882)),"Invalid date",IF(OR(B882&lt;=0,B882&lt;&gt;INT(B882)),"Invalid date",IF(COUNTIFS(DemoHistory[Date],B882)&lt;&gt;1,"Duplicate date",IF(AND($A882&gt;1,B882&lt;=B881),"Dates out of order",IF(NOT(ISNUMBER(C882)),"Missing price",IF(C882&lt;=0,"Nonpositive price","OK")))))))))</f>
        <v/>
      </c>
      <c r="I882" s="136"/>
      <c r="J882" s="136"/>
      <c r="K882" s="136"/>
      <c r="L882" s="136"/>
      <c r="M882" s="136"/>
      <c r="N882" s="136" t="e">
        <f t="shared" si="40"/>
        <v>#N/A</v>
      </c>
      <c r="O882" s="136" t="e">
        <f t="shared" si="41"/>
        <v>#N/A</v>
      </c>
    </row>
    <row r="883" spans="1:15" ht="22.05" customHeight="1" x14ac:dyDescent="0.3">
      <c r="A883" s="136">
        <v>839</v>
      </c>
      <c r="B883" s="165" t="str">
        <f>IF($A883&gt;MIN($A$10,$A$2),"",INDEX(DemoHistory[Date],$A883))</f>
        <v/>
      </c>
      <c r="C883" s="166" t="str">
        <f>IF(OR($A883&gt;MIN($A$10,$A$2),$A$5=""),"",INDEX(DemoHistory[],$A883,MATCH($A$5,DemoHistory[#Headers],0)))</f>
        <v/>
      </c>
      <c r="D883" s="166" t="str">
        <f>IF($A883&gt;MIN($A$10,$A$2),"",IF(AND($A$12,$A$6=1,B883&lt;$A$7,$A$7&lt;=MAX(DemoHistory[Date])),$A$8,1))</f>
        <v/>
      </c>
      <c r="E883" s="166" t="str">
        <f t="shared" si="39"/>
        <v/>
      </c>
      <c r="F883" s="166" t="str">
        <f>IF($A883&gt;MIN($A$10,$A$2),"",IF($A883&lt;50,"n.a.",IF(COUNT(INDEX(StockDaily[Adjusted close],MAX(1,$A883-50+1)):E883)=50,AVERAGE(INDEX(StockDaily[Adjusted close],MAX(1,$A883-50+1)):E883),"n.a.")))</f>
        <v/>
      </c>
      <c r="G883" s="166" t="str">
        <f>IF($A883&gt;MIN($A$10,$A$2),"",IF($A883&lt;200,"n.a.",IF(COUNT(INDEX(StockDaily[Adjusted close],MAX(1,$A883-200+1)):E883)=200,AVERAGE(INDEX(StockDaily[Adjusted close],MAX(1,$A883-200+1)):E883),"n.a.")))</f>
        <v/>
      </c>
      <c r="H883" s="136" t="str">
        <f>IF($A883&gt;MIN($A$10,$A$2),"",IF($A$5="","Choose stock",IF(NOT($A$12),"Check split rule",IF(NOT(ISNUMBER(B883)),"Invalid date",IF(OR(B883&lt;=0,B883&lt;&gt;INT(B883)),"Invalid date",IF(COUNTIFS(DemoHistory[Date],B883)&lt;&gt;1,"Duplicate date",IF(AND($A883&gt;1,B883&lt;=B882),"Dates out of order",IF(NOT(ISNUMBER(C883)),"Missing price",IF(C883&lt;=0,"Nonpositive price","OK")))))))))</f>
        <v/>
      </c>
      <c r="I883" s="136"/>
      <c r="J883" s="136"/>
      <c r="K883" s="136"/>
      <c r="L883" s="136"/>
      <c r="M883" s="136"/>
      <c r="N883" s="136" t="e">
        <f t="shared" si="40"/>
        <v>#N/A</v>
      </c>
      <c r="O883" s="136" t="e">
        <f t="shared" si="41"/>
        <v>#N/A</v>
      </c>
    </row>
    <row r="884" spans="1:15" ht="22.05" customHeight="1" x14ac:dyDescent="0.3">
      <c r="A884" s="136">
        <v>840</v>
      </c>
      <c r="B884" s="165" t="str">
        <f>IF($A884&gt;MIN($A$10,$A$2),"",INDEX(DemoHistory[Date],$A884))</f>
        <v/>
      </c>
      <c r="C884" s="166" t="str">
        <f>IF(OR($A884&gt;MIN($A$10,$A$2),$A$5=""),"",INDEX(DemoHistory[],$A884,MATCH($A$5,DemoHistory[#Headers],0)))</f>
        <v/>
      </c>
      <c r="D884" s="166" t="str">
        <f>IF($A884&gt;MIN($A$10,$A$2),"",IF(AND($A$12,$A$6=1,B884&lt;$A$7,$A$7&lt;=MAX(DemoHistory[Date])),$A$8,1))</f>
        <v/>
      </c>
      <c r="E884" s="166" t="str">
        <f t="shared" si="39"/>
        <v/>
      </c>
      <c r="F884" s="166" t="str">
        <f>IF($A884&gt;MIN($A$10,$A$2),"",IF($A884&lt;50,"n.a.",IF(COUNT(INDEX(StockDaily[Adjusted close],MAX(1,$A884-50+1)):E884)=50,AVERAGE(INDEX(StockDaily[Adjusted close],MAX(1,$A884-50+1)):E884),"n.a.")))</f>
        <v/>
      </c>
      <c r="G884" s="166" t="str">
        <f>IF($A884&gt;MIN($A$10,$A$2),"",IF($A884&lt;200,"n.a.",IF(COUNT(INDEX(StockDaily[Adjusted close],MAX(1,$A884-200+1)):E884)=200,AVERAGE(INDEX(StockDaily[Adjusted close],MAX(1,$A884-200+1)):E884),"n.a.")))</f>
        <v/>
      </c>
      <c r="H884" s="136" t="str">
        <f>IF($A884&gt;MIN($A$10,$A$2),"",IF($A$5="","Choose stock",IF(NOT($A$12),"Check split rule",IF(NOT(ISNUMBER(B884)),"Invalid date",IF(OR(B884&lt;=0,B884&lt;&gt;INT(B884)),"Invalid date",IF(COUNTIFS(DemoHistory[Date],B884)&lt;&gt;1,"Duplicate date",IF(AND($A884&gt;1,B884&lt;=B883),"Dates out of order",IF(NOT(ISNUMBER(C884)),"Missing price",IF(C884&lt;=0,"Nonpositive price","OK")))))))))</f>
        <v/>
      </c>
      <c r="I884" s="136"/>
      <c r="J884" s="136"/>
      <c r="K884" s="136"/>
      <c r="L884" s="136"/>
      <c r="M884" s="136"/>
      <c r="N884" s="136" t="e">
        <f t="shared" si="40"/>
        <v>#N/A</v>
      </c>
      <c r="O884" s="136" t="e">
        <f t="shared" si="41"/>
        <v>#N/A</v>
      </c>
    </row>
    <row r="885" spans="1:15" ht="22.05" customHeight="1" x14ac:dyDescent="0.3">
      <c r="A885" s="136">
        <v>841</v>
      </c>
      <c r="B885" s="165" t="str">
        <f>IF($A885&gt;MIN($A$10,$A$2),"",INDEX(DemoHistory[Date],$A885))</f>
        <v/>
      </c>
      <c r="C885" s="166" t="str">
        <f>IF(OR($A885&gt;MIN($A$10,$A$2),$A$5=""),"",INDEX(DemoHistory[],$A885,MATCH($A$5,DemoHistory[#Headers],0)))</f>
        <v/>
      </c>
      <c r="D885" s="166" t="str">
        <f>IF($A885&gt;MIN($A$10,$A$2),"",IF(AND($A$12,$A$6=1,B885&lt;$A$7,$A$7&lt;=MAX(DemoHistory[Date])),$A$8,1))</f>
        <v/>
      </c>
      <c r="E885" s="166" t="str">
        <f t="shared" si="39"/>
        <v/>
      </c>
      <c r="F885" s="166" t="str">
        <f>IF($A885&gt;MIN($A$10,$A$2),"",IF($A885&lt;50,"n.a.",IF(COUNT(INDEX(StockDaily[Adjusted close],MAX(1,$A885-50+1)):E885)=50,AVERAGE(INDEX(StockDaily[Adjusted close],MAX(1,$A885-50+1)):E885),"n.a.")))</f>
        <v/>
      </c>
      <c r="G885" s="166" t="str">
        <f>IF($A885&gt;MIN($A$10,$A$2),"",IF($A885&lt;200,"n.a.",IF(COUNT(INDEX(StockDaily[Adjusted close],MAX(1,$A885-200+1)):E885)=200,AVERAGE(INDEX(StockDaily[Adjusted close],MAX(1,$A885-200+1)):E885),"n.a.")))</f>
        <v/>
      </c>
      <c r="H885" s="136" t="str">
        <f>IF($A885&gt;MIN($A$10,$A$2),"",IF($A$5="","Choose stock",IF(NOT($A$12),"Check split rule",IF(NOT(ISNUMBER(B885)),"Invalid date",IF(OR(B885&lt;=0,B885&lt;&gt;INT(B885)),"Invalid date",IF(COUNTIFS(DemoHistory[Date],B885)&lt;&gt;1,"Duplicate date",IF(AND($A885&gt;1,B885&lt;=B884),"Dates out of order",IF(NOT(ISNUMBER(C885)),"Missing price",IF(C885&lt;=0,"Nonpositive price","OK")))))))))</f>
        <v/>
      </c>
      <c r="I885" s="136"/>
      <c r="J885" s="136"/>
      <c r="K885" s="136"/>
      <c r="L885" s="136"/>
      <c r="M885" s="136"/>
      <c r="N885" s="136" t="e">
        <f t="shared" si="40"/>
        <v>#N/A</v>
      </c>
      <c r="O885" s="136" t="e">
        <f t="shared" si="41"/>
        <v>#N/A</v>
      </c>
    </row>
    <row r="886" spans="1:15" ht="22.05" customHeight="1" x14ac:dyDescent="0.3">
      <c r="A886" s="136">
        <v>842</v>
      </c>
      <c r="B886" s="165" t="str">
        <f>IF($A886&gt;MIN($A$10,$A$2),"",INDEX(DemoHistory[Date],$A886))</f>
        <v/>
      </c>
      <c r="C886" s="166" t="str">
        <f>IF(OR($A886&gt;MIN($A$10,$A$2),$A$5=""),"",INDEX(DemoHistory[],$A886,MATCH($A$5,DemoHistory[#Headers],0)))</f>
        <v/>
      </c>
      <c r="D886" s="166" t="str">
        <f>IF($A886&gt;MIN($A$10,$A$2),"",IF(AND($A$12,$A$6=1,B886&lt;$A$7,$A$7&lt;=MAX(DemoHistory[Date])),$A$8,1))</f>
        <v/>
      </c>
      <c r="E886" s="166" t="str">
        <f t="shared" si="39"/>
        <v/>
      </c>
      <c r="F886" s="166" t="str">
        <f>IF($A886&gt;MIN($A$10,$A$2),"",IF($A886&lt;50,"n.a.",IF(COUNT(INDEX(StockDaily[Adjusted close],MAX(1,$A886-50+1)):E886)=50,AVERAGE(INDEX(StockDaily[Adjusted close],MAX(1,$A886-50+1)):E886),"n.a.")))</f>
        <v/>
      </c>
      <c r="G886" s="166" t="str">
        <f>IF($A886&gt;MIN($A$10,$A$2),"",IF($A886&lt;200,"n.a.",IF(COUNT(INDEX(StockDaily[Adjusted close],MAX(1,$A886-200+1)):E886)=200,AVERAGE(INDEX(StockDaily[Adjusted close],MAX(1,$A886-200+1)):E886),"n.a.")))</f>
        <v/>
      </c>
      <c r="H886" s="136" t="str">
        <f>IF($A886&gt;MIN($A$10,$A$2),"",IF($A$5="","Choose stock",IF(NOT($A$12),"Check split rule",IF(NOT(ISNUMBER(B886)),"Invalid date",IF(OR(B886&lt;=0,B886&lt;&gt;INT(B886)),"Invalid date",IF(COUNTIFS(DemoHistory[Date],B886)&lt;&gt;1,"Duplicate date",IF(AND($A886&gt;1,B886&lt;=B885),"Dates out of order",IF(NOT(ISNUMBER(C886)),"Missing price",IF(C886&lt;=0,"Nonpositive price","OK")))))))))</f>
        <v/>
      </c>
      <c r="I886" s="136"/>
      <c r="J886" s="136"/>
      <c r="K886" s="136"/>
      <c r="L886" s="136"/>
      <c r="M886" s="136"/>
      <c r="N886" s="136" t="e">
        <f t="shared" si="40"/>
        <v>#N/A</v>
      </c>
      <c r="O886" s="136" t="e">
        <f t="shared" si="41"/>
        <v>#N/A</v>
      </c>
    </row>
    <row r="887" spans="1:15" ht="22.05" customHeight="1" x14ac:dyDescent="0.3">
      <c r="A887" s="136">
        <v>843</v>
      </c>
      <c r="B887" s="165" t="str">
        <f>IF($A887&gt;MIN($A$10,$A$2),"",INDEX(DemoHistory[Date],$A887))</f>
        <v/>
      </c>
      <c r="C887" s="166" t="str">
        <f>IF(OR($A887&gt;MIN($A$10,$A$2),$A$5=""),"",INDEX(DemoHistory[],$A887,MATCH($A$5,DemoHistory[#Headers],0)))</f>
        <v/>
      </c>
      <c r="D887" s="166" t="str">
        <f>IF($A887&gt;MIN($A$10,$A$2),"",IF(AND($A$12,$A$6=1,B887&lt;$A$7,$A$7&lt;=MAX(DemoHistory[Date])),$A$8,1))</f>
        <v/>
      </c>
      <c r="E887" s="166" t="str">
        <f t="shared" si="39"/>
        <v/>
      </c>
      <c r="F887" s="166" t="str">
        <f>IF($A887&gt;MIN($A$10,$A$2),"",IF($A887&lt;50,"n.a.",IF(COUNT(INDEX(StockDaily[Adjusted close],MAX(1,$A887-50+1)):E887)=50,AVERAGE(INDEX(StockDaily[Adjusted close],MAX(1,$A887-50+1)):E887),"n.a.")))</f>
        <v/>
      </c>
      <c r="G887" s="166" t="str">
        <f>IF($A887&gt;MIN($A$10,$A$2),"",IF($A887&lt;200,"n.a.",IF(COUNT(INDEX(StockDaily[Adjusted close],MAX(1,$A887-200+1)):E887)=200,AVERAGE(INDEX(StockDaily[Adjusted close],MAX(1,$A887-200+1)):E887),"n.a.")))</f>
        <v/>
      </c>
      <c r="H887" s="136" t="str">
        <f>IF($A887&gt;MIN($A$10,$A$2),"",IF($A$5="","Choose stock",IF(NOT($A$12),"Check split rule",IF(NOT(ISNUMBER(B887)),"Invalid date",IF(OR(B887&lt;=0,B887&lt;&gt;INT(B887)),"Invalid date",IF(COUNTIFS(DemoHistory[Date],B887)&lt;&gt;1,"Duplicate date",IF(AND($A887&gt;1,B887&lt;=B886),"Dates out of order",IF(NOT(ISNUMBER(C887)),"Missing price",IF(C887&lt;=0,"Nonpositive price","OK")))))))))</f>
        <v/>
      </c>
      <c r="I887" s="136"/>
      <c r="J887" s="136"/>
      <c r="K887" s="136"/>
      <c r="L887" s="136"/>
      <c r="M887" s="136"/>
      <c r="N887" s="136" t="e">
        <f t="shared" si="40"/>
        <v>#N/A</v>
      </c>
      <c r="O887" s="136" t="e">
        <f t="shared" si="41"/>
        <v>#N/A</v>
      </c>
    </row>
    <row r="888" spans="1:15" ht="22.05" customHeight="1" x14ac:dyDescent="0.3">
      <c r="A888" s="136">
        <v>844</v>
      </c>
      <c r="B888" s="165" t="str">
        <f>IF($A888&gt;MIN($A$10,$A$2),"",INDEX(DemoHistory[Date],$A888))</f>
        <v/>
      </c>
      <c r="C888" s="166" t="str">
        <f>IF(OR($A888&gt;MIN($A$10,$A$2),$A$5=""),"",INDEX(DemoHistory[],$A888,MATCH($A$5,DemoHistory[#Headers],0)))</f>
        <v/>
      </c>
      <c r="D888" s="166" t="str">
        <f>IF($A888&gt;MIN($A$10,$A$2),"",IF(AND($A$12,$A$6=1,B888&lt;$A$7,$A$7&lt;=MAX(DemoHistory[Date])),$A$8,1))</f>
        <v/>
      </c>
      <c r="E888" s="166" t="str">
        <f t="shared" si="39"/>
        <v/>
      </c>
      <c r="F888" s="166" t="str">
        <f>IF($A888&gt;MIN($A$10,$A$2),"",IF($A888&lt;50,"n.a.",IF(COUNT(INDEX(StockDaily[Adjusted close],MAX(1,$A888-50+1)):E888)=50,AVERAGE(INDEX(StockDaily[Adjusted close],MAX(1,$A888-50+1)):E888),"n.a.")))</f>
        <v/>
      </c>
      <c r="G888" s="166" t="str">
        <f>IF($A888&gt;MIN($A$10,$A$2),"",IF($A888&lt;200,"n.a.",IF(COUNT(INDEX(StockDaily[Adjusted close],MAX(1,$A888-200+1)):E888)=200,AVERAGE(INDEX(StockDaily[Adjusted close],MAX(1,$A888-200+1)):E888),"n.a.")))</f>
        <v/>
      </c>
      <c r="H888" s="136" t="str">
        <f>IF($A888&gt;MIN($A$10,$A$2),"",IF($A$5="","Choose stock",IF(NOT($A$12),"Check split rule",IF(NOT(ISNUMBER(B888)),"Invalid date",IF(OR(B888&lt;=0,B888&lt;&gt;INT(B888)),"Invalid date",IF(COUNTIFS(DemoHistory[Date],B888)&lt;&gt;1,"Duplicate date",IF(AND($A888&gt;1,B888&lt;=B887),"Dates out of order",IF(NOT(ISNUMBER(C888)),"Missing price",IF(C888&lt;=0,"Nonpositive price","OK")))))))))</f>
        <v/>
      </c>
      <c r="I888" s="136"/>
      <c r="J888" s="136"/>
      <c r="K888" s="136"/>
      <c r="L888" s="136"/>
      <c r="M888" s="136"/>
      <c r="N888" s="136" t="e">
        <f t="shared" si="40"/>
        <v>#N/A</v>
      </c>
      <c r="O888" s="136" t="e">
        <f t="shared" si="41"/>
        <v>#N/A</v>
      </c>
    </row>
    <row r="889" spans="1:15" ht="22.05" customHeight="1" x14ac:dyDescent="0.3">
      <c r="A889" s="136">
        <v>845</v>
      </c>
      <c r="B889" s="165" t="str">
        <f>IF($A889&gt;MIN($A$10,$A$2),"",INDEX(DemoHistory[Date],$A889))</f>
        <v/>
      </c>
      <c r="C889" s="166" t="str">
        <f>IF(OR($A889&gt;MIN($A$10,$A$2),$A$5=""),"",INDEX(DemoHistory[],$A889,MATCH($A$5,DemoHistory[#Headers],0)))</f>
        <v/>
      </c>
      <c r="D889" s="166" t="str">
        <f>IF($A889&gt;MIN($A$10,$A$2),"",IF(AND($A$12,$A$6=1,B889&lt;$A$7,$A$7&lt;=MAX(DemoHistory[Date])),$A$8,1))</f>
        <v/>
      </c>
      <c r="E889" s="166" t="str">
        <f t="shared" si="39"/>
        <v/>
      </c>
      <c r="F889" s="166" t="str">
        <f>IF($A889&gt;MIN($A$10,$A$2),"",IF($A889&lt;50,"n.a.",IF(COUNT(INDEX(StockDaily[Adjusted close],MAX(1,$A889-50+1)):E889)=50,AVERAGE(INDEX(StockDaily[Adjusted close],MAX(1,$A889-50+1)):E889),"n.a.")))</f>
        <v/>
      </c>
      <c r="G889" s="166" t="str">
        <f>IF($A889&gt;MIN($A$10,$A$2),"",IF($A889&lt;200,"n.a.",IF(COUNT(INDEX(StockDaily[Adjusted close],MAX(1,$A889-200+1)):E889)=200,AVERAGE(INDEX(StockDaily[Adjusted close],MAX(1,$A889-200+1)):E889),"n.a.")))</f>
        <v/>
      </c>
      <c r="H889" s="136" t="str">
        <f>IF($A889&gt;MIN($A$10,$A$2),"",IF($A$5="","Choose stock",IF(NOT($A$12),"Check split rule",IF(NOT(ISNUMBER(B889)),"Invalid date",IF(OR(B889&lt;=0,B889&lt;&gt;INT(B889)),"Invalid date",IF(COUNTIFS(DemoHistory[Date],B889)&lt;&gt;1,"Duplicate date",IF(AND($A889&gt;1,B889&lt;=B888),"Dates out of order",IF(NOT(ISNUMBER(C889)),"Missing price",IF(C889&lt;=0,"Nonpositive price","OK")))))))))</f>
        <v/>
      </c>
      <c r="I889" s="136"/>
      <c r="J889" s="136"/>
      <c r="K889" s="136"/>
      <c r="L889" s="136"/>
      <c r="M889" s="136"/>
      <c r="N889" s="136" t="e">
        <f t="shared" si="40"/>
        <v>#N/A</v>
      </c>
      <c r="O889" s="136" t="e">
        <f t="shared" si="41"/>
        <v>#N/A</v>
      </c>
    </row>
    <row r="890" spans="1:15" ht="22.05" customHeight="1" x14ac:dyDescent="0.3">
      <c r="A890" s="136">
        <v>846</v>
      </c>
      <c r="B890" s="165" t="str">
        <f>IF($A890&gt;MIN($A$10,$A$2),"",INDEX(DemoHistory[Date],$A890))</f>
        <v/>
      </c>
      <c r="C890" s="166" t="str">
        <f>IF(OR($A890&gt;MIN($A$10,$A$2),$A$5=""),"",INDEX(DemoHistory[],$A890,MATCH($A$5,DemoHistory[#Headers],0)))</f>
        <v/>
      </c>
      <c r="D890" s="166" t="str">
        <f>IF($A890&gt;MIN($A$10,$A$2),"",IF(AND($A$12,$A$6=1,B890&lt;$A$7,$A$7&lt;=MAX(DemoHistory[Date])),$A$8,1))</f>
        <v/>
      </c>
      <c r="E890" s="166" t="str">
        <f t="shared" si="39"/>
        <v/>
      </c>
      <c r="F890" s="166" t="str">
        <f>IF($A890&gt;MIN($A$10,$A$2),"",IF($A890&lt;50,"n.a.",IF(COUNT(INDEX(StockDaily[Adjusted close],MAX(1,$A890-50+1)):E890)=50,AVERAGE(INDEX(StockDaily[Adjusted close],MAX(1,$A890-50+1)):E890),"n.a.")))</f>
        <v/>
      </c>
      <c r="G890" s="166" t="str">
        <f>IF($A890&gt;MIN($A$10,$A$2),"",IF($A890&lt;200,"n.a.",IF(COUNT(INDEX(StockDaily[Adjusted close],MAX(1,$A890-200+1)):E890)=200,AVERAGE(INDEX(StockDaily[Adjusted close],MAX(1,$A890-200+1)):E890),"n.a.")))</f>
        <v/>
      </c>
      <c r="H890" s="136" t="str">
        <f>IF($A890&gt;MIN($A$10,$A$2),"",IF($A$5="","Choose stock",IF(NOT($A$12),"Check split rule",IF(NOT(ISNUMBER(B890)),"Invalid date",IF(OR(B890&lt;=0,B890&lt;&gt;INT(B890)),"Invalid date",IF(COUNTIFS(DemoHistory[Date],B890)&lt;&gt;1,"Duplicate date",IF(AND($A890&gt;1,B890&lt;=B889),"Dates out of order",IF(NOT(ISNUMBER(C890)),"Missing price",IF(C890&lt;=0,"Nonpositive price","OK")))))))))</f>
        <v/>
      </c>
      <c r="I890" s="136"/>
      <c r="J890" s="136"/>
      <c r="K890" s="136"/>
      <c r="L890" s="136"/>
      <c r="M890" s="136"/>
      <c r="N890" s="136" t="e">
        <f t="shared" si="40"/>
        <v>#N/A</v>
      </c>
      <c r="O890" s="136" t="e">
        <f t="shared" si="41"/>
        <v>#N/A</v>
      </c>
    </row>
    <row r="891" spans="1:15" ht="22.05" customHeight="1" x14ac:dyDescent="0.3">
      <c r="A891" s="136">
        <v>847</v>
      </c>
      <c r="B891" s="165" t="str">
        <f>IF($A891&gt;MIN($A$10,$A$2),"",INDEX(DemoHistory[Date],$A891))</f>
        <v/>
      </c>
      <c r="C891" s="166" t="str">
        <f>IF(OR($A891&gt;MIN($A$10,$A$2),$A$5=""),"",INDEX(DemoHistory[],$A891,MATCH($A$5,DemoHistory[#Headers],0)))</f>
        <v/>
      </c>
      <c r="D891" s="166" t="str">
        <f>IF($A891&gt;MIN($A$10,$A$2),"",IF(AND($A$12,$A$6=1,B891&lt;$A$7,$A$7&lt;=MAX(DemoHistory[Date])),$A$8,1))</f>
        <v/>
      </c>
      <c r="E891" s="166" t="str">
        <f t="shared" si="39"/>
        <v/>
      </c>
      <c r="F891" s="166" t="str">
        <f>IF($A891&gt;MIN($A$10,$A$2),"",IF($A891&lt;50,"n.a.",IF(COUNT(INDEX(StockDaily[Adjusted close],MAX(1,$A891-50+1)):E891)=50,AVERAGE(INDEX(StockDaily[Adjusted close],MAX(1,$A891-50+1)):E891),"n.a.")))</f>
        <v/>
      </c>
      <c r="G891" s="166" t="str">
        <f>IF($A891&gt;MIN($A$10,$A$2),"",IF($A891&lt;200,"n.a.",IF(COUNT(INDEX(StockDaily[Adjusted close],MAX(1,$A891-200+1)):E891)=200,AVERAGE(INDEX(StockDaily[Adjusted close],MAX(1,$A891-200+1)):E891),"n.a.")))</f>
        <v/>
      </c>
      <c r="H891" s="136" t="str">
        <f>IF($A891&gt;MIN($A$10,$A$2),"",IF($A$5="","Choose stock",IF(NOT($A$12),"Check split rule",IF(NOT(ISNUMBER(B891)),"Invalid date",IF(OR(B891&lt;=0,B891&lt;&gt;INT(B891)),"Invalid date",IF(COUNTIFS(DemoHistory[Date],B891)&lt;&gt;1,"Duplicate date",IF(AND($A891&gt;1,B891&lt;=B890),"Dates out of order",IF(NOT(ISNUMBER(C891)),"Missing price",IF(C891&lt;=0,"Nonpositive price","OK")))))))))</f>
        <v/>
      </c>
      <c r="I891" s="136"/>
      <c r="J891" s="136"/>
      <c r="K891" s="136"/>
      <c r="L891" s="136"/>
      <c r="M891" s="136"/>
      <c r="N891" s="136" t="e">
        <f t="shared" si="40"/>
        <v>#N/A</v>
      </c>
      <c r="O891" s="136" t="e">
        <f t="shared" si="41"/>
        <v>#N/A</v>
      </c>
    </row>
    <row r="892" spans="1:15" ht="22.05" customHeight="1" x14ac:dyDescent="0.3">
      <c r="A892" s="136">
        <v>848</v>
      </c>
      <c r="B892" s="165" t="str">
        <f>IF($A892&gt;MIN($A$10,$A$2),"",INDEX(DemoHistory[Date],$A892))</f>
        <v/>
      </c>
      <c r="C892" s="166" t="str">
        <f>IF(OR($A892&gt;MIN($A$10,$A$2),$A$5=""),"",INDEX(DemoHistory[],$A892,MATCH($A$5,DemoHistory[#Headers],0)))</f>
        <v/>
      </c>
      <c r="D892" s="166" t="str">
        <f>IF($A892&gt;MIN($A$10,$A$2),"",IF(AND($A$12,$A$6=1,B892&lt;$A$7,$A$7&lt;=MAX(DemoHistory[Date])),$A$8,1))</f>
        <v/>
      </c>
      <c r="E892" s="166" t="str">
        <f t="shared" si="39"/>
        <v/>
      </c>
      <c r="F892" s="166" t="str">
        <f>IF($A892&gt;MIN($A$10,$A$2),"",IF($A892&lt;50,"n.a.",IF(COUNT(INDEX(StockDaily[Adjusted close],MAX(1,$A892-50+1)):E892)=50,AVERAGE(INDEX(StockDaily[Adjusted close],MAX(1,$A892-50+1)):E892),"n.a.")))</f>
        <v/>
      </c>
      <c r="G892" s="166" t="str">
        <f>IF($A892&gt;MIN($A$10,$A$2),"",IF($A892&lt;200,"n.a.",IF(COUNT(INDEX(StockDaily[Adjusted close],MAX(1,$A892-200+1)):E892)=200,AVERAGE(INDEX(StockDaily[Adjusted close],MAX(1,$A892-200+1)):E892),"n.a.")))</f>
        <v/>
      </c>
      <c r="H892" s="136" t="str">
        <f>IF($A892&gt;MIN($A$10,$A$2),"",IF($A$5="","Choose stock",IF(NOT($A$12),"Check split rule",IF(NOT(ISNUMBER(B892)),"Invalid date",IF(OR(B892&lt;=0,B892&lt;&gt;INT(B892)),"Invalid date",IF(COUNTIFS(DemoHistory[Date],B892)&lt;&gt;1,"Duplicate date",IF(AND($A892&gt;1,B892&lt;=B891),"Dates out of order",IF(NOT(ISNUMBER(C892)),"Missing price",IF(C892&lt;=0,"Nonpositive price","OK")))))))))</f>
        <v/>
      </c>
      <c r="I892" s="136"/>
      <c r="J892" s="136"/>
      <c r="K892" s="136"/>
      <c r="L892" s="136"/>
      <c r="M892" s="136"/>
      <c r="N892" s="136" t="e">
        <f t="shared" si="40"/>
        <v>#N/A</v>
      </c>
      <c r="O892" s="136" t="e">
        <f t="shared" si="41"/>
        <v>#N/A</v>
      </c>
    </row>
    <row r="893" spans="1:15" ht="22.05" customHeight="1" x14ac:dyDescent="0.3">
      <c r="A893" s="136">
        <v>849</v>
      </c>
      <c r="B893" s="165" t="str">
        <f>IF($A893&gt;MIN($A$10,$A$2),"",INDEX(DemoHistory[Date],$A893))</f>
        <v/>
      </c>
      <c r="C893" s="166" t="str">
        <f>IF(OR($A893&gt;MIN($A$10,$A$2),$A$5=""),"",INDEX(DemoHistory[],$A893,MATCH($A$5,DemoHistory[#Headers],0)))</f>
        <v/>
      </c>
      <c r="D893" s="166" t="str">
        <f>IF($A893&gt;MIN($A$10,$A$2),"",IF(AND($A$12,$A$6=1,B893&lt;$A$7,$A$7&lt;=MAX(DemoHistory[Date])),$A$8,1))</f>
        <v/>
      </c>
      <c r="E893" s="166" t="str">
        <f t="shared" si="39"/>
        <v/>
      </c>
      <c r="F893" s="166" t="str">
        <f>IF($A893&gt;MIN($A$10,$A$2),"",IF($A893&lt;50,"n.a.",IF(COUNT(INDEX(StockDaily[Adjusted close],MAX(1,$A893-50+1)):E893)=50,AVERAGE(INDEX(StockDaily[Adjusted close],MAX(1,$A893-50+1)):E893),"n.a.")))</f>
        <v/>
      </c>
      <c r="G893" s="166" t="str">
        <f>IF($A893&gt;MIN($A$10,$A$2),"",IF($A893&lt;200,"n.a.",IF(COUNT(INDEX(StockDaily[Adjusted close],MAX(1,$A893-200+1)):E893)=200,AVERAGE(INDEX(StockDaily[Adjusted close],MAX(1,$A893-200+1)):E893),"n.a.")))</f>
        <v/>
      </c>
      <c r="H893" s="136" t="str">
        <f>IF($A893&gt;MIN($A$10,$A$2),"",IF($A$5="","Choose stock",IF(NOT($A$12),"Check split rule",IF(NOT(ISNUMBER(B893)),"Invalid date",IF(OR(B893&lt;=0,B893&lt;&gt;INT(B893)),"Invalid date",IF(COUNTIFS(DemoHistory[Date],B893)&lt;&gt;1,"Duplicate date",IF(AND($A893&gt;1,B893&lt;=B892),"Dates out of order",IF(NOT(ISNUMBER(C893)),"Missing price",IF(C893&lt;=0,"Nonpositive price","OK")))))))))</f>
        <v/>
      </c>
      <c r="I893" s="136"/>
      <c r="J893" s="136"/>
      <c r="K893" s="136"/>
      <c r="L893" s="136"/>
      <c r="M893" s="136"/>
      <c r="N893" s="136" t="e">
        <f t="shared" si="40"/>
        <v>#N/A</v>
      </c>
      <c r="O893" s="136" t="e">
        <f t="shared" si="41"/>
        <v>#N/A</v>
      </c>
    </row>
    <row r="894" spans="1:15" ht="22.05" customHeight="1" x14ac:dyDescent="0.3">
      <c r="A894" s="136">
        <v>850</v>
      </c>
      <c r="B894" s="165" t="str">
        <f>IF($A894&gt;MIN($A$10,$A$2),"",INDEX(DemoHistory[Date],$A894))</f>
        <v/>
      </c>
      <c r="C894" s="166" t="str">
        <f>IF(OR($A894&gt;MIN($A$10,$A$2),$A$5=""),"",INDEX(DemoHistory[],$A894,MATCH($A$5,DemoHistory[#Headers],0)))</f>
        <v/>
      </c>
      <c r="D894" s="166" t="str">
        <f>IF($A894&gt;MIN($A$10,$A$2),"",IF(AND($A$12,$A$6=1,B894&lt;$A$7,$A$7&lt;=MAX(DemoHistory[Date])),$A$8,1))</f>
        <v/>
      </c>
      <c r="E894" s="166" t="str">
        <f t="shared" si="39"/>
        <v/>
      </c>
      <c r="F894" s="166" t="str">
        <f>IF($A894&gt;MIN($A$10,$A$2),"",IF($A894&lt;50,"n.a.",IF(COUNT(INDEX(StockDaily[Adjusted close],MAX(1,$A894-50+1)):E894)=50,AVERAGE(INDEX(StockDaily[Adjusted close],MAX(1,$A894-50+1)):E894),"n.a.")))</f>
        <v/>
      </c>
      <c r="G894" s="166" t="str">
        <f>IF($A894&gt;MIN($A$10,$A$2),"",IF($A894&lt;200,"n.a.",IF(COUNT(INDEX(StockDaily[Adjusted close],MAX(1,$A894-200+1)):E894)=200,AVERAGE(INDEX(StockDaily[Adjusted close],MAX(1,$A894-200+1)):E894),"n.a.")))</f>
        <v/>
      </c>
      <c r="H894" s="136" t="str">
        <f>IF($A894&gt;MIN($A$10,$A$2),"",IF($A$5="","Choose stock",IF(NOT($A$12),"Check split rule",IF(NOT(ISNUMBER(B894)),"Invalid date",IF(OR(B894&lt;=0,B894&lt;&gt;INT(B894)),"Invalid date",IF(COUNTIFS(DemoHistory[Date],B894)&lt;&gt;1,"Duplicate date",IF(AND($A894&gt;1,B894&lt;=B893),"Dates out of order",IF(NOT(ISNUMBER(C894)),"Missing price",IF(C894&lt;=0,"Nonpositive price","OK")))))))))</f>
        <v/>
      </c>
      <c r="I894" s="136"/>
      <c r="J894" s="136"/>
      <c r="K894" s="136"/>
      <c r="L894" s="136"/>
      <c r="M894" s="136"/>
      <c r="N894" s="136" t="e">
        <f t="shared" si="40"/>
        <v>#N/A</v>
      </c>
      <c r="O894" s="136" t="e">
        <f t="shared" si="41"/>
        <v>#N/A</v>
      </c>
    </row>
    <row r="895" spans="1:15" ht="22.05" customHeight="1" x14ac:dyDescent="0.3">
      <c r="A895" s="136">
        <v>851</v>
      </c>
      <c r="B895" s="165" t="str">
        <f>IF($A895&gt;MIN($A$10,$A$2),"",INDEX(DemoHistory[Date],$A895))</f>
        <v/>
      </c>
      <c r="C895" s="166" t="str">
        <f>IF(OR($A895&gt;MIN($A$10,$A$2),$A$5=""),"",INDEX(DemoHistory[],$A895,MATCH($A$5,DemoHistory[#Headers],0)))</f>
        <v/>
      </c>
      <c r="D895" s="166" t="str">
        <f>IF($A895&gt;MIN($A$10,$A$2),"",IF(AND($A$12,$A$6=1,B895&lt;$A$7,$A$7&lt;=MAX(DemoHistory[Date])),$A$8,1))</f>
        <v/>
      </c>
      <c r="E895" s="166" t="str">
        <f t="shared" si="39"/>
        <v/>
      </c>
      <c r="F895" s="166" t="str">
        <f>IF($A895&gt;MIN($A$10,$A$2),"",IF($A895&lt;50,"n.a.",IF(COUNT(INDEX(StockDaily[Adjusted close],MAX(1,$A895-50+1)):E895)=50,AVERAGE(INDEX(StockDaily[Adjusted close],MAX(1,$A895-50+1)):E895),"n.a.")))</f>
        <v/>
      </c>
      <c r="G895" s="166" t="str">
        <f>IF($A895&gt;MIN($A$10,$A$2),"",IF($A895&lt;200,"n.a.",IF(COUNT(INDEX(StockDaily[Adjusted close],MAX(1,$A895-200+1)):E895)=200,AVERAGE(INDEX(StockDaily[Adjusted close],MAX(1,$A895-200+1)):E895),"n.a.")))</f>
        <v/>
      </c>
      <c r="H895" s="136" t="str">
        <f>IF($A895&gt;MIN($A$10,$A$2),"",IF($A$5="","Choose stock",IF(NOT($A$12),"Check split rule",IF(NOT(ISNUMBER(B895)),"Invalid date",IF(OR(B895&lt;=0,B895&lt;&gt;INT(B895)),"Invalid date",IF(COUNTIFS(DemoHistory[Date],B895)&lt;&gt;1,"Duplicate date",IF(AND($A895&gt;1,B895&lt;=B894),"Dates out of order",IF(NOT(ISNUMBER(C895)),"Missing price",IF(C895&lt;=0,"Nonpositive price","OK")))))))))</f>
        <v/>
      </c>
      <c r="I895" s="136"/>
      <c r="J895" s="136"/>
      <c r="K895" s="136"/>
      <c r="L895" s="136"/>
      <c r="M895" s="136"/>
      <c r="N895" s="136" t="e">
        <f t="shared" si="40"/>
        <v>#N/A</v>
      </c>
      <c r="O895" s="136" t="e">
        <f t="shared" si="41"/>
        <v>#N/A</v>
      </c>
    </row>
    <row r="896" spans="1:15" ht="22.05" customHeight="1" x14ac:dyDescent="0.3">
      <c r="A896" s="136">
        <v>852</v>
      </c>
      <c r="B896" s="165" t="str">
        <f>IF($A896&gt;MIN($A$10,$A$2),"",INDEX(DemoHistory[Date],$A896))</f>
        <v/>
      </c>
      <c r="C896" s="166" t="str">
        <f>IF(OR($A896&gt;MIN($A$10,$A$2),$A$5=""),"",INDEX(DemoHistory[],$A896,MATCH($A$5,DemoHistory[#Headers],0)))</f>
        <v/>
      </c>
      <c r="D896" s="166" t="str">
        <f>IF($A896&gt;MIN($A$10,$A$2),"",IF(AND($A$12,$A$6=1,B896&lt;$A$7,$A$7&lt;=MAX(DemoHistory[Date])),$A$8,1))</f>
        <v/>
      </c>
      <c r="E896" s="166" t="str">
        <f t="shared" si="39"/>
        <v/>
      </c>
      <c r="F896" s="166" t="str">
        <f>IF($A896&gt;MIN($A$10,$A$2),"",IF($A896&lt;50,"n.a.",IF(COUNT(INDEX(StockDaily[Adjusted close],MAX(1,$A896-50+1)):E896)=50,AVERAGE(INDEX(StockDaily[Adjusted close],MAX(1,$A896-50+1)):E896),"n.a.")))</f>
        <v/>
      </c>
      <c r="G896" s="166" t="str">
        <f>IF($A896&gt;MIN($A$10,$A$2),"",IF($A896&lt;200,"n.a.",IF(COUNT(INDEX(StockDaily[Adjusted close],MAX(1,$A896-200+1)):E896)=200,AVERAGE(INDEX(StockDaily[Adjusted close],MAX(1,$A896-200+1)):E896),"n.a.")))</f>
        <v/>
      </c>
      <c r="H896" s="136" t="str">
        <f>IF($A896&gt;MIN($A$10,$A$2),"",IF($A$5="","Choose stock",IF(NOT($A$12),"Check split rule",IF(NOT(ISNUMBER(B896)),"Invalid date",IF(OR(B896&lt;=0,B896&lt;&gt;INT(B896)),"Invalid date",IF(COUNTIFS(DemoHistory[Date],B896)&lt;&gt;1,"Duplicate date",IF(AND($A896&gt;1,B896&lt;=B895),"Dates out of order",IF(NOT(ISNUMBER(C896)),"Missing price",IF(C896&lt;=0,"Nonpositive price","OK")))))))))</f>
        <v/>
      </c>
      <c r="I896" s="136"/>
      <c r="J896" s="136"/>
      <c r="K896" s="136"/>
      <c r="L896" s="136"/>
      <c r="M896" s="136"/>
      <c r="N896" s="136" t="e">
        <f t="shared" si="40"/>
        <v>#N/A</v>
      </c>
      <c r="O896" s="136" t="e">
        <f t="shared" si="41"/>
        <v>#N/A</v>
      </c>
    </row>
    <row r="897" spans="1:15" ht="22.05" customHeight="1" x14ac:dyDescent="0.3">
      <c r="A897" s="136">
        <v>853</v>
      </c>
      <c r="B897" s="165" t="str">
        <f>IF($A897&gt;MIN($A$10,$A$2),"",INDEX(DemoHistory[Date],$A897))</f>
        <v/>
      </c>
      <c r="C897" s="166" t="str">
        <f>IF(OR($A897&gt;MIN($A$10,$A$2),$A$5=""),"",INDEX(DemoHistory[],$A897,MATCH($A$5,DemoHistory[#Headers],0)))</f>
        <v/>
      </c>
      <c r="D897" s="166" t="str">
        <f>IF($A897&gt;MIN($A$10,$A$2),"",IF(AND($A$12,$A$6=1,B897&lt;$A$7,$A$7&lt;=MAX(DemoHistory[Date])),$A$8,1))</f>
        <v/>
      </c>
      <c r="E897" s="166" t="str">
        <f t="shared" si="39"/>
        <v/>
      </c>
      <c r="F897" s="166" t="str">
        <f>IF($A897&gt;MIN($A$10,$A$2),"",IF($A897&lt;50,"n.a.",IF(COUNT(INDEX(StockDaily[Adjusted close],MAX(1,$A897-50+1)):E897)=50,AVERAGE(INDEX(StockDaily[Adjusted close],MAX(1,$A897-50+1)):E897),"n.a.")))</f>
        <v/>
      </c>
      <c r="G897" s="166" t="str">
        <f>IF($A897&gt;MIN($A$10,$A$2),"",IF($A897&lt;200,"n.a.",IF(COUNT(INDEX(StockDaily[Adjusted close],MAX(1,$A897-200+1)):E897)=200,AVERAGE(INDEX(StockDaily[Adjusted close],MAX(1,$A897-200+1)):E897),"n.a.")))</f>
        <v/>
      </c>
      <c r="H897" s="136" t="str">
        <f>IF($A897&gt;MIN($A$10,$A$2),"",IF($A$5="","Choose stock",IF(NOT($A$12),"Check split rule",IF(NOT(ISNUMBER(B897)),"Invalid date",IF(OR(B897&lt;=0,B897&lt;&gt;INT(B897)),"Invalid date",IF(COUNTIFS(DemoHistory[Date],B897)&lt;&gt;1,"Duplicate date",IF(AND($A897&gt;1,B897&lt;=B896),"Dates out of order",IF(NOT(ISNUMBER(C897)),"Missing price",IF(C897&lt;=0,"Nonpositive price","OK")))))))))</f>
        <v/>
      </c>
      <c r="I897" s="136"/>
      <c r="J897" s="136"/>
      <c r="K897" s="136"/>
      <c r="L897" s="136"/>
      <c r="M897" s="136"/>
      <c r="N897" s="136" t="e">
        <f t="shared" si="40"/>
        <v>#N/A</v>
      </c>
      <c r="O897" s="136" t="e">
        <f t="shared" si="41"/>
        <v>#N/A</v>
      </c>
    </row>
    <row r="898" spans="1:15" ht="22.05" customHeight="1" x14ac:dyDescent="0.3">
      <c r="A898" s="136">
        <v>854</v>
      </c>
      <c r="B898" s="165" t="str">
        <f>IF($A898&gt;MIN($A$10,$A$2),"",INDEX(DemoHistory[Date],$A898))</f>
        <v/>
      </c>
      <c r="C898" s="166" t="str">
        <f>IF(OR($A898&gt;MIN($A$10,$A$2),$A$5=""),"",INDEX(DemoHistory[],$A898,MATCH($A$5,DemoHistory[#Headers],0)))</f>
        <v/>
      </c>
      <c r="D898" s="166" t="str">
        <f>IF($A898&gt;MIN($A$10,$A$2),"",IF(AND($A$12,$A$6=1,B898&lt;$A$7,$A$7&lt;=MAX(DemoHistory[Date])),$A$8,1))</f>
        <v/>
      </c>
      <c r="E898" s="166" t="str">
        <f t="shared" si="39"/>
        <v/>
      </c>
      <c r="F898" s="166" t="str">
        <f>IF($A898&gt;MIN($A$10,$A$2),"",IF($A898&lt;50,"n.a.",IF(COUNT(INDEX(StockDaily[Adjusted close],MAX(1,$A898-50+1)):E898)=50,AVERAGE(INDEX(StockDaily[Adjusted close],MAX(1,$A898-50+1)):E898),"n.a.")))</f>
        <v/>
      </c>
      <c r="G898" s="166" t="str">
        <f>IF($A898&gt;MIN($A$10,$A$2),"",IF($A898&lt;200,"n.a.",IF(COUNT(INDEX(StockDaily[Adjusted close],MAX(1,$A898-200+1)):E898)=200,AVERAGE(INDEX(StockDaily[Adjusted close],MAX(1,$A898-200+1)):E898),"n.a.")))</f>
        <v/>
      </c>
      <c r="H898" s="136" t="str">
        <f>IF($A898&gt;MIN($A$10,$A$2),"",IF($A$5="","Choose stock",IF(NOT($A$12),"Check split rule",IF(NOT(ISNUMBER(B898)),"Invalid date",IF(OR(B898&lt;=0,B898&lt;&gt;INT(B898)),"Invalid date",IF(COUNTIFS(DemoHistory[Date],B898)&lt;&gt;1,"Duplicate date",IF(AND($A898&gt;1,B898&lt;=B897),"Dates out of order",IF(NOT(ISNUMBER(C898)),"Missing price",IF(C898&lt;=0,"Nonpositive price","OK")))))))))</f>
        <v/>
      </c>
      <c r="I898" s="136"/>
      <c r="J898" s="136"/>
      <c r="K898" s="136"/>
      <c r="L898" s="136"/>
      <c r="M898" s="136"/>
      <c r="N898" s="136" t="e">
        <f t="shared" si="40"/>
        <v>#N/A</v>
      </c>
      <c r="O898" s="136" t="e">
        <f t="shared" si="41"/>
        <v>#N/A</v>
      </c>
    </row>
    <row r="899" spans="1:15" ht="22.05" customHeight="1" x14ac:dyDescent="0.3">
      <c r="A899" s="136">
        <v>855</v>
      </c>
      <c r="B899" s="165" t="str">
        <f>IF($A899&gt;MIN($A$10,$A$2),"",INDEX(DemoHistory[Date],$A899))</f>
        <v/>
      </c>
      <c r="C899" s="166" t="str">
        <f>IF(OR($A899&gt;MIN($A$10,$A$2),$A$5=""),"",INDEX(DemoHistory[],$A899,MATCH($A$5,DemoHistory[#Headers],0)))</f>
        <v/>
      </c>
      <c r="D899" s="166" t="str">
        <f>IF($A899&gt;MIN($A$10,$A$2),"",IF(AND($A$12,$A$6=1,B899&lt;$A$7,$A$7&lt;=MAX(DemoHistory[Date])),$A$8,1))</f>
        <v/>
      </c>
      <c r="E899" s="166" t="str">
        <f t="shared" si="39"/>
        <v/>
      </c>
      <c r="F899" s="166" t="str">
        <f>IF($A899&gt;MIN($A$10,$A$2),"",IF($A899&lt;50,"n.a.",IF(COUNT(INDEX(StockDaily[Adjusted close],MAX(1,$A899-50+1)):E899)=50,AVERAGE(INDEX(StockDaily[Adjusted close],MAX(1,$A899-50+1)):E899),"n.a.")))</f>
        <v/>
      </c>
      <c r="G899" s="166" t="str">
        <f>IF($A899&gt;MIN($A$10,$A$2),"",IF($A899&lt;200,"n.a.",IF(COUNT(INDEX(StockDaily[Adjusted close],MAX(1,$A899-200+1)):E899)=200,AVERAGE(INDEX(StockDaily[Adjusted close],MAX(1,$A899-200+1)):E899),"n.a.")))</f>
        <v/>
      </c>
      <c r="H899" s="136" t="str">
        <f>IF($A899&gt;MIN($A$10,$A$2),"",IF($A$5="","Choose stock",IF(NOT($A$12),"Check split rule",IF(NOT(ISNUMBER(B899)),"Invalid date",IF(OR(B899&lt;=0,B899&lt;&gt;INT(B899)),"Invalid date",IF(COUNTIFS(DemoHistory[Date],B899)&lt;&gt;1,"Duplicate date",IF(AND($A899&gt;1,B899&lt;=B898),"Dates out of order",IF(NOT(ISNUMBER(C899)),"Missing price",IF(C899&lt;=0,"Nonpositive price","OK")))))))))</f>
        <v/>
      </c>
      <c r="I899" s="136"/>
      <c r="J899" s="136"/>
      <c r="K899" s="136"/>
      <c r="L899" s="136"/>
      <c r="M899" s="136"/>
      <c r="N899" s="136" t="e">
        <f t="shared" si="40"/>
        <v>#N/A</v>
      </c>
      <c r="O899" s="136" t="e">
        <f t="shared" si="41"/>
        <v>#N/A</v>
      </c>
    </row>
    <row r="900" spans="1:15" ht="22.05" customHeight="1" x14ac:dyDescent="0.3">
      <c r="A900" s="136">
        <v>856</v>
      </c>
      <c r="B900" s="165" t="str">
        <f>IF($A900&gt;MIN($A$10,$A$2),"",INDEX(DemoHistory[Date],$A900))</f>
        <v/>
      </c>
      <c r="C900" s="166" t="str">
        <f>IF(OR($A900&gt;MIN($A$10,$A$2),$A$5=""),"",INDEX(DemoHistory[],$A900,MATCH($A$5,DemoHistory[#Headers],0)))</f>
        <v/>
      </c>
      <c r="D900" s="166" t="str">
        <f>IF($A900&gt;MIN($A$10,$A$2),"",IF(AND($A$12,$A$6=1,B900&lt;$A$7,$A$7&lt;=MAX(DemoHistory[Date])),$A$8,1))</f>
        <v/>
      </c>
      <c r="E900" s="166" t="str">
        <f t="shared" si="39"/>
        <v/>
      </c>
      <c r="F900" s="166" t="str">
        <f>IF($A900&gt;MIN($A$10,$A$2),"",IF($A900&lt;50,"n.a.",IF(COUNT(INDEX(StockDaily[Adjusted close],MAX(1,$A900-50+1)):E900)=50,AVERAGE(INDEX(StockDaily[Adjusted close],MAX(1,$A900-50+1)):E900),"n.a.")))</f>
        <v/>
      </c>
      <c r="G900" s="166" t="str">
        <f>IF($A900&gt;MIN($A$10,$A$2),"",IF($A900&lt;200,"n.a.",IF(COUNT(INDEX(StockDaily[Adjusted close],MAX(1,$A900-200+1)):E900)=200,AVERAGE(INDEX(StockDaily[Adjusted close],MAX(1,$A900-200+1)):E900),"n.a.")))</f>
        <v/>
      </c>
      <c r="H900" s="136" t="str">
        <f>IF($A900&gt;MIN($A$10,$A$2),"",IF($A$5="","Choose stock",IF(NOT($A$12),"Check split rule",IF(NOT(ISNUMBER(B900)),"Invalid date",IF(OR(B900&lt;=0,B900&lt;&gt;INT(B900)),"Invalid date",IF(COUNTIFS(DemoHistory[Date],B900)&lt;&gt;1,"Duplicate date",IF(AND($A900&gt;1,B900&lt;=B899),"Dates out of order",IF(NOT(ISNUMBER(C900)),"Missing price",IF(C900&lt;=0,"Nonpositive price","OK")))))))))</f>
        <v/>
      </c>
      <c r="I900" s="136"/>
      <c r="J900" s="136"/>
      <c r="K900" s="136"/>
      <c r="L900" s="136"/>
      <c r="M900" s="136"/>
      <c r="N900" s="136" t="e">
        <f t="shared" si="40"/>
        <v>#N/A</v>
      </c>
      <c r="O900" s="136" t="e">
        <f t="shared" si="41"/>
        <v>#N/A</v>
      </c>
    </row>
    <row r="901" spans="1:15" ht="22.05" customHeight="1" x14ac:dyDescent="0.3">
      <c r="A901" s="136">
        <v>857</v>
      </c>
      <c r="B901" s="165" t="str">
        <f>IF($A901&gt;MIN($A$10,$A$2),"",INDEX(DemoHistory[Date],$A901))</f>
        <v/>
      </c>
      <c r="C901" s="166" t="str">
        <f>IF(OR($A901&gt;MIN($A$10,$A$2),$A$5=""),"",INDEX(DemoHistory[],$A901,MATCH($A$5,DemoHistory[#Headers],0)))</f>
        <v/>
      </c>
      <c r="D901" s="166" t="str">
        <f>IF($A901&gt;MIN($A$10,$A$2),"",IF(AND($A$12,$A$6=1,B901&lt;$A$7,$A$7&lt;=MAX(DemoHistory[Date])),$A$8,1))</f>
        <v/>
      </c>
      <c r="E901" s="166" t="str">
        <f t="shared" si="39"/>
        <v/>
      </c>
      <c r="F901" s="166" t="str">
        <f>IF($A901&gt;MIN($A$10,$A$2),"",IF($A901&lt;50,"n.a.",IF(COUNT(INDEX(StockDaily[Adjusted close],MAX(1,$A901-50+1)):E901)=50,AVERAGE(INDEX(StockDaily[Adjusted close],MAX(1,$A901-50+1)):E901),"n.a.")))</f>
        <v/>
      </c>
      <c r="G901" s="166" t="str">
        <f>IF($A901&gt;MIN($A$10,$A$2),"",IF($A901&lt;200,"n.a.",IF(COUNT(INDEX(StockDaily[Adjusted close],MAX(1,$A901-200+1)):E901)=200,AVERAGE(INDEX(StockDaily[Adjusted close],MAX(1,$A901-200+1)):E901),"n.a.")))</f>
        <v/>
      </c>
      <c r="H901" s="136" t="str">
        <f>IF($A901&gt;MIN($A$10,$A$2),"",IF($A$5="","Choose stock",IF(NOT($A$12),"Check split rule",IF(NOT(ISNUMBER(B901)),"Invalid date",IF(OR(B901&lt;=0,B901&lt;&gt;INT(B901)),"Invalid date",IF(COUNTIFS(DemoHistory[Date],B901)&lt;&gt;1,"Duplicate date",IF(AND($A901&gt;1,B901&lt;=B900),"Dates out of order",IF(NOT(ISNUMBER(C901)),"Missing price",IF(C901&lt;=0,"Nonpositive price","OK")))))))))</f>
        <v/>
      </c>
      <c r="I901" s="136"/>
      <c r="J901" s="136"/>
      <c r="K901" s="136"/>
      <c r="L901" s="136"/>
      <c r="M901" s="136"/>
      <c r="N901" s="136" t="e">
        <f t="shared" si="40"/>
        <v>#N/A</v>
      </c>
      <c r="O901" s="136" t="e">
        <f t="shared" si="41"/>
        <v>#N/A</v>
      </c>
    </row>
    <row r="902" spans="1:15" ht="22.05" customHeight="1" x14ac:dyDescent="0.3">
      <c r="A902" s="136">
        <v>858</v>
      </c>
      <c r="B902" s="165" t="str">
        <f>IF($A902&gt;MIN($A$10,$A$2),"",INDEX(DemoHistory[Date],$A902))</f>
        <v/>
      </c>
      <c r="C902" s="166" t="str">
        <f>IF(OR($A902&gt;MIN($A$10,$A$2),$A$5=""),"",INDEX(DemoHistory[],$A902,MATCH($A$5,DemoHistory[#Headers],0)))</f>
        <v/>
      </c>
      <c r="D902" s="166" t="str">
        <f>IF($A902&gt;MIN($A$10,$A$2),"",IF(AND($A$12,$A$6=1,B902&lt;$A$7,$A$7&lt;=MAX(DemoHistory[Date])),$A$8,1))</f>
        <v/>
      </c>
      <c r="E902" s="166" t="str">
        <f t="shared" si="39"/>
        <v/>
      </c>
      <c r="F902" s="166" t="str">
        <f>IF($A902&gt;MIN($A$10,$A$2),"",IF($A902&lt;50,"n.a.",IF(COUNT(INDEX(StockDaily[Adjusted close],MAX(1,$A902-50+1)):E902)=50,AVERAGE(INDEX(StockDaily[Adjusted close],MAX(1,$A902-50+1)):E902),"n.a.")))</f>
        <v/>
      </c>
      <c r="G902" s="166" t="str">
        <f>IF($A902&gt;MIN($A$10,$A$2),"",IF($A902&lt;200,"n.a.",IF(COUNT(INDEX(StockDaily[Adjusted close],MAX(1,$A902-200+1)):E902)=200,AVERAGE(INDEX(StockDaily[Adjusted close],MAX(1,$A902-200+1)):E902),"n.a.")))</f>
        <v/>
      </c>
      <c r="H902" s="136" t="str">
        <f>IF($A902&gt;MIN($A$10,$A$2),"",IF($A$5="","Choose stock",IF(NOT($A$12),"Check split rule",IF(NOT(ISNUMBER(B902)),"Invalid date",IF(OR(B902&lt;=0,B902&lt;&gt;INT(B902)),"Invalid date",IF(COUNTIFS(DemoHistory[Date],B902)&lt;&gt;1,"Duplicate date",IF(AND($A902&gt;1,B902&lt;=B901),"Dates out of order",IF(NOT(ISNUMBER(C902)),"Missing price",IF(C902&lt;=0,"Nonpositive price","OK")))))))))</f>
        <v/>
      </c>
      <c r="I902" s="136"/>
      <c r="J902" s="136"/>
      <c r="K902" s="136"/>
      <c r="L902" s="136"/>
      <c r="M902" s="136"/>
      <c r="N902" s="136" t="e">
        <f t="shared" si="40"/>
        <v>#N/A</v>
      </c>
      <c r="O902" s="136" t="e">
        <f t="shared" si="41"/>
        <v>#N/A</v>
      </c>
    </row>
    <row r="903" spans="1:15" ht="22.05" customHeight="1" x14ac:dyDescent="0.3">
      <c r="A903" s="136">
        <v>859</v>
      </c>
      <c r="B903" s="165" t="str">
        <f>IF($A903&gt;MIN($A$10,$A$2),"",INDEX(DemoHistory[Date],$A903))</f>
        <v/>
      </c>
      <c r="C903" s="166" t="str">
        <f>IF(OR($A903&gt;MIN($A$10,$A$2),$A$5=""),"",INDEX(DemoHistory[],$A903,MATCH($A$5,DemoHistory[#Headers],0)))</f>
        <v/>
      </c>
      <c r="D903" s="166" t="str">
        <f>IF($A903&gt;MIN($A$10,$A$2),"",IF(AND($A$12,$A$6=1,B903&lt;$A$7,$A$7&lt;=MAX(DemoHistory[Date])),$A$8,1))</f>
        <v/>
      </c>
      <c r="E903" s="166" t="str">
        <f t="shared" si="39"/>
        <v/>
      </c>
      <c r="F903" s="166" t="str">
        <f>IF($A903&gt;MIN($A$10,$A$2),"",IF($A903&lt;50,"n.a.",IF(COUNT(INDEX(StockDaily[Adjusted close],MAX(1,$A903-50+1)):E903)=50,AVERAGE(INDEX(StockDaily[Adjusted close],MAX(1,$A903-50+1)):E903),"n.a.")))</f>
        <v/>
      </c>
      <c r="G903" s="166" t="str">
        <f>IF($A903&gt;MIN($A$10,$A$2),"",IF($A903&lt;200,"n.a.",IF(COUNT(INDEX(StockDaily[Adjusted close],MAX(1,$A903-200+1)):E903)=200,AVERAGE(INDEX(StockDaily[Adjusted close],MAX(1,$A903-200+1)):E903),"n.a.")))</f>
        <v/>
      </c>
      <c r="H903" s="136" t="str">
        <f>IF($A903&gt;MIN($A$10,$A$2),"",IF($A$5="","Choose stock",IF(NOT($A$12),"Check split rule",IF(NOT(ISNUMBER(B903)),"Invalid date",IF(OR(B903&lt;=0,B903&lt;&gt;INT(B903)),"Invalid date",IF(COUNTIFS(DemoHistory[Date],B903)&lt;&gt;1,"Duplicate date",IF(AND($A903&gt;1,B903&lt;=B902),"Dates out of order",IF(NOT(ISNUMBER(C903)),"Missing price",IF(C903&lt;=0,"Nonpositive price","OK")))))))))</f>
        <v/>
      </c>
      <c r="I903" s="136"/>
      <c r="J903" s="136"/>
      <c r="K903" s="136"/>
      <c r="L903" s="136"/>
      <c r="M903" s="136"/>
      <c r="N903" s="136" t="e">
        <f t="shared" si="40"/>
        <v>#N/A</v>
      </c>
      <c r="O903" s="136" t="e">
        <f t="shared" si="41"/>
        <v>#N/A</v>
      </c>
    </row>
    <row r="904" spans="1:15" ht="22.05" customHeight="1" x14ac:dyDescent="0.3">
      <c r="A904" s="136">
        <v>860</v>
      </c>
      <c r="B904" s="165" t="str">
        <f>IF($A904&gt;MIN($A$10,$A$2),"",INDEX(DemoHistory[Date],$A904))</f>
        <v/>
      </c>
      <c r="C904" s="166" t="str">
        <f>IF(OR($A904&gt;MIN($A$10,$A$2),$A$5=""),"",INDEX(DemoHistory[],$A904,MATCH($A$5,DemoHistory[#Headers],0)))</f>
        <v/>
      </c>
      <c r="D904" s="166" t="str">
        <f>IF($A904&gt;MIN($A$10,$A$2),"",IF(AND($A$12,$A$6=1,B904&lt;$A$7,$A$7&lt;=MAX(DemoHistory[Date])),$A$8,1))</f>
        <v/>
      </c>
      <c r="E904" s="166" t="str">
        <f t="shared" si="39"/>
        <v/>
      </c>
      <c r="F904" s="166" t="str">
        <f>IF($A904&gt;MIN($A$10,$A$2),"",IF($A904&lt;50,"n.a.",IF(COUNT(INDEX(StockDaily[Adjusted close],MAX(1,$A904-50+1)):E904)=50,AVERAGE(INDEX(StockDaily[Adjusted close],MAX(1,$A904-50+1)):E904),"n.a.")))</f>
        <v/>
      </c>
      <c r="G904" s="166" t="str">
        <f>IF($A904&gt;MIN($A$10,$A$2),"",IF($A904&lt;200,"n.a.",IF(COUNT(INDEX(StockDaily[Adjusted close],MAX(1,$A904-200+1)):E904)=200,AVERAGE(INDEX(StockDaily[Adjusted close],MAX(1,$A904-200+1)):E904),"n.a.")))</f>
        <v/>
      </c>
      <c r="H904" s="136" t="str">
        <f>IF($A904&gt;MIN($A$10,$A$2),"",IF($A$5="","Choose stock",IF(NOT($A$12),"Check split rule",IF(NOT(ISNUMBER(B904)),"Invalid date",IF(OR(B904&lt;=0,B904&lt;&gt;INT(B904)),"Invalid date",IF(COUNTIFS(DemoHistory[Date],B904)&lt;&gt;1,"Duplicate date",IF(AND($A904&gt;1,B904&lt;=B903),"Dates out of order",IF(NOT(ISNUMBER(C904)),"Missing price",IF(C904&lt;=0,"Nonpositive price","OK")))))))))</f>
        <v/>
      </c>
      <c r="I904" s="136"/>
      <c r="J904" s="136"/>
      <c r="K904" s="136"/>
      <c r="L904" s="136"/>
      <c r="M904" s="136"/>
      <c r="N904" s="136" t="e">
        <f t="shared" si="40"/>
        <v>#N/A</v>
      </c>
      <c r="O904" s="136" t="e">
        <f t="shared" si="41"/>
        <v>#N/A</v>
      </c>
    </row>
    <row r="905" spans="1:15" ht="22.05" customHeight="1" x14ac:dyDescent="0.3">
      <c r="A905" s="136">
        <v>861</v>
      </c>
      <c r="B905" s="165" t="str">
        <f>IF($A905&gt;MIN($A$10,$A$2),"",INDEX(DemoHistory[Date],$A905))</f>
        <v/>
      </c>
      <c r="C905" s="166" t="str">
        <f>IF(OR($A905&gt;MIN($A$10,$A$2),$A$5=""),"",INDEX(DemoHistory[],$A905,MATCH($A$5,DemoHistory[#Headers],0)))</f>
        <v/>
      </c>
      <c r="D905" s="166" t="str">
        <f>IF($A905&gt;MIN($A$10,$A$2),"",IF(AND($A$12,$A$6=1,B905&lt;$A$7,$A$7&lt;=MAX(DemoHistory[Date])),$A$8,1))</f>
        <v/>
      </c>
      <c r="E905" s="166" t="str">
        <f t="shared" si="39"/>
        <v/>
      </c>
      <c r="F905" s="166" t="str">
        <f>IF($A905&gt;MIN($A$10,$A$2),"",IF($A905&lt;50,"n.a.",IF(COUNT(INDEX(StockDaily[Adjusted close],MAX(1,$A905-50+1)):E905)=50,AVERAGE(INDEX(StockDaily[Adjusted close],MAX(1,$A905-50+1)):E905),"n.a.")))</f>
        <v/>
      </c>
      <c r="G905" s="166" t="str">
        <f>IF($A905&gt;MIN($A$10,$A$2),"",IF($A905&lt;200,"n.a.",IF(COUNT(INDEX(StockDaily[Adjusted close],MAX(1,$A905-200+1)):E905)=200,AVERAGE(INDEX(StockDaily[Adjusted close],MAX(1,$A905-200+1)):E905),"n.a.")))</f>
        <v/>
      </c>
      <c r="H905" s="136" t="str">
        <f>IF($A905&gt;MIN($A$10,$A$2),"",IF($A$5="","Choose stock",IF(NOT($A$12),"Check split rule",IF(NOT(ISNUMBER(B905)),"Invalid date",IF(OR(B905&lt;=0,B905&lt;&gt;INT(B905)),"Invalid date",IF(COUNTIFS(DemoHistory[Date],B905)&lt;&gt;1,"Duplicate date",IF(AND($A905&gt;1,B905&lt;=B904),"Dates out of order",IF(NOT(ISNUMBER(C905)),"Missing price",IF(C905&lt;=0,"Nonpositive price","OK")))))))))</f>
        <v/>
      </c>
      <c r="I905" s="136"/>
      <c r="J905" s="136"/>
      <c r="K905" s="136"/>
      <c r="L905" s="136"/>
      <c r="M905" s="136"/>
      <c r="N905" s="136" t="e">
        <f t="shared" si="40"/>
        <v>#N/A</v>
      </c>
      <c r="O905" s="136" t="e">
        <f t="shared" si="41"/>
        <v>#N/A</v>
      </c>
    </row>
    <row r="906" spans="1:15" ht="22.05" customHeight="1" x14ac:dyDescent="0.3">
      <c r="A906" s="136">
        <v>862</v>
      </c>
      <c r="B906" s="165" t="str">
        <f>IF($A906&gt;MIN($A$10,$A$2),"",INDEX(DemoHistory[Date],$A906))</f>
        <v/>
      </c>
      <c r="C906" s="166" t="str">
        <f>IF(OR($A906&gt;MIN($A$10,$A$2),$A$5=""),"",INDEX(DemoHistory[],$A906,MATCH($A$5,DemoHistory[#Headers],0)))</f>
        <v/>
      </c>
      <c r="D906" s="166" t="str">
        <f>IF($A906&gt;MIN($A$10,$A$2),"",IF(AND($A$12,$A$6=1,B906&lt;$A$7,$A$7&lt;=MAX(DemoHistory[Date])),$A$8,1))</f>
        <v/>
      </c>
      <c r="E906" s="166" t="str">
        <f t="shared" si="39"/>
        <v/>
      </c>
      <c r="F906" s="166" t="str">
        <f>IF($A906&gt;MIN($A$10,$A$2),"",IF($A906&lt;50,"n.a.",IF(COUNT(INDEX(StockDaily[Adjusted close],MAX(1,$A906-50+1)):E906)=50,AVERAGE(INDEX(StockDaily[Adjusted close],MAX(1,$A906-50+1)):E906),"n.a.")))</f>
        <v/>
      </c>
      <c r="G906" s="166" t="str">
        <f>IF($A906&gt;MIN($A$10,$A$2),"",IF($A906&lt;200,"n.a.",IF(COUNT(INDEX(StockDaily[Adjusted close],MAX(1,$A906-200+1)):E906)=200,AVERAGE(INDEX(StockDaily[Adjusted close],MAX(1,$A906-200+1)):E906),"n.a.")))</f>
        <v/>
      </c>
      <c r="H906" s="136" t="str">
        <f>IF($A906&gt;MIN($A$10,$A$2),"",IF($A$5="","Choose stock",IF(NOT($A$12),"Check split rule",IF(NOT(ISNUMBER(B906)),"Invalid date",IF(OR(B906&lt;=0,B906&lt;&gt;INT(B906)),"Invalid date",IF(COUNTIFS(DemoHistory[Date],B906)&lt;&gt;1,"Duplicate date",IF(AND($A906&gt;1,B906&lt;=B905),"Dates out of order",IF(NOT(ISNUMBER(C906)),"Missing price",IF(C906&lt;=0,"Nonpositive price","OK")))))))))</f>
        <v/>
      </c>
      <c r="I906" s="136"/>
      <c r="J906" s="136"/>
      <c r="K906" s="136"/>
      <c r="L906" s="136"/>
      <c r="M906" s="136"/>
      <c r="N906" s="136" t="e">
        <f t="shared" si="40"/>
        <v>#N/A</v>
      </c>
      <c r="O906" s="136" t="e">
        <f t="shared" si="41"/>
        <v>#N/A</v>
      </c>
    </row>
    <row r="907" spans="1:15" ht="22.05" customHeight="1" x14ac:dyDescent="0.3">
      <c r="A907" s="136">
        <v>863</v>
      </c>
      <c r="B907" s="165" t="str">
        <f>IF($A907&gt;MIN($A$10,$A$2),"",INDEX(DemoHistory[Date],$A907))</f>
        <v/>
      </c>
      <c r="C907" s="166" t="str">
        <f>IF(OR($A907&gt;MIN($A$10,$A$2),$A$5=""),"",INDEX(DemoHistory[],$A907,MATCH($A$5,DemoHistory[#Headers],0)))</f>
        <v/>
      </c>
      <c r="D907" s="166" t="str">
        <f>IF($A907&gt;MIN($A$10,$A$2),"",IF(AND($A$12,$A$6=1,B907&lt;$A$7,$A$7&lt;=MAX(DemoHistory[Date])),$A$8,1))</f>
        <v/>
      </c>
      <c r="E907" s="166" t="str">
        <f t="shared" si="39"/>
        <v/>
      </c>
      <c r="F907" s="166" t="str">
        <f>IF($A907&gt;MIN($A$10,$A$2),"",IF($A907&lt;50,"n.a.",IF(COUNT(INDEX(StockDaily[Adjusted close],MAX(1,$A907-50+1)):E907)=50,AVERAGE(INDEX(StockDaily[Adjusted close],MAX(1,$A907-50+1)):E907),"n.a.")))</f>
        <v/>
      </c>
      <c r="G907" s="166" t="str">
        <f>IF($A907&gt;MIN($A$10,$A$2),"",IF($A907&lt;200,"n.a.",IF(COUNT(INDEX(StockDaily[Adjusted close],MAX(1,$A907-200+1)):E907)=200,AVERAGE(INDEX(StockDaily[Adjusted close],MAX(1,$A907-200+1)):E907),"n.a.")))</f>
        <v/>
      </c>
      <c r="H907" s="136" t="str">
        <f>IF($A907&gt;MIN($A$10,$A$2),"",IF($A$5="","Choose stock",IF(NOT($A$12),"Check split rule",IF(NOT(ISNUMBER(B907)),"Invalid date",IF(OR(B907&lt;=0,B907&lt;&gt;INT(B907)),"Invalid date",IF(COUNTIFS(DemoHistory[Date],B907)&lt;&gt;1,"Duplicate date",IF(AND($A907&gt;1,B907&lt;=B906),"Dates out of order",IF(NOT(ISNUMBER(C907)),"Missing price",IF(C907&lt;=0,"Nonpositive price","OK")))))))))</f>
        <v/>
      </c>
      <c r="I907" s="136"/>
      <c r="J907" s="136"/>
      <c r="K907" s="136"/>
      <c r="L907" s="136"/>
      <c r="M907" s="136"/>
      <c r="N907" s="136" t="e">
        <f t="shared" si="40"/>
        <v>#N/A</v>
      </c>
      <c r="O907" s="136" t="e">
        <f t="shared" si="41"/>
        <v>#N/A</v>
      </c>
    </row>
    <row r="908" spans="1:15" ht="22.05" customHeight="1" x14ac:dyDescent="0.3">
      <c r="A908" s="136">
        <v>864</v>
      </c>
      <c r="B908" s="165" t="str">
        <f>IF($A908&gt;MIN($A$10,$A$2),"",INDEX(DemoHistory[Date],$A908))</f>
        <v/>
      </c>
      <c r="C908" s="166" t="str">
        <f>IF(OR($A908&gt;MIN($A$10,$A$2),$A$5=""),"",INDEX(DemoHistory[],$A908,MATCH($A$5,DemoHistory[#Headers],0)))</f>
        <v/>
      </c>
      <c r="D908" s="166" t="str">
        <f>IF($A908&gt;MIN($A$10,$A$2),"",IF(AND($A$12,$A$6=1,B908&lt;$A$7,$A$7&lt;=MAX(DemoHistory[Date])),$A$8,1))</f>
        <v/>
      </c>
      <c r="E908" s="166" t="str">
        <f t="shared" si="39"/>
        <v/>
      </c>
      <c r="F908" s="166" t="str">
        <f>IF($A908&gt;MIN($A$10,$A$2),"",IF($A908&lt;50,"n.a.",IF(COUNT(INDEX(StockDaily[Adjusted close],MAX(1,$A908-50+1)):E908)=50,AVERAGE(INDEX(StockDaily[Adjusted close],MAX(1,$A908-50+1)):E908),"n.a.")))</f>
        <v/>
      </c>
      <c r="G908" s="166" t="str">
        <f>IF($A908&gt;MIN($A$10,$A$2),"",IF($A908&lt;200,"n.a.",IF(COUNT(INDEX(StockDaily[Adjusted close],MAX(1,$A908-200+1)):E908)=200,AVERAGE(INDEX(StockDaily[Adjusted close],MAX(1,$A908-200+1)):E908),"n.a.")))</f>
        <v/>
      </c>
      <c r="H908" s="136" t="str">
        <f>IF($A908&gt;MIN($A$10,$A$2),"",IF($A$5="","Choose stock",IF(NOT($A$12),"Check split rule",IF(NOT(ISNUMBER(B908)),"Invalid date",IF(OR(B908&lt;=0,B908&lt;&gt;INT(B908)),"Invalid date",IF(COUNTIFS(DemoHistory[Date],B908)&lt;&gt;1,"Duplicate date",IF(AND($A908&gt;1,B908&lt;=B907),"Dates out of order",IF(NOT(ISNUMBER(C908)),"Missing price",IF(C908&lt;=0,"Nonpositive price","OK")))))))))</f>
        <v/>
      </c>
      <c r="I908" s="136"/>
      <c r="J908" s="136"/>
      <c r="K908" s="136"/>
      <c r="L908" s="136"/>
      <c r="M908" s="136"/>
      <c r="N908" s="136" t="e">
        <f t="shared" si="40"/>
        <v>#N/A</v>
      </c>
      <c r="O908" s="136" t="e">
        <f t="shared" si="41"/>
        <v>#N/A</v>
      </c>
    </row>
    <row r="909" spans="1:15" ht="22.05" customHeight="1" x14ac:dyDescent="0.3">
      <c r="A909" s="136">
        <v>865</v>
      </c>
      <c r="B909" s="165" t="str">
        <f>IF($A909&gt;MIN($A$10,$A$2),"",INDEX(DemoHistory[Date],$A909))</f>
        <v/>
      </c>
      <c r="C909" s="166" t="str">
        <f>IF(OR($A909&gt;MIN($A$10,$A$2),$A$5=""),"",INDEX(DemoHistory[],$A909,MATCH($A$5,DemoHistory[#Headers],0)))</f>
        <v/>
      </c>
      <c r="D909" s="166" t="str">
        <f>IF($A909&gt;MIN($A$10,$A$2),"",IF(AND($A$12,$A$6=1,B909&lt;$A$7,$A$7&lt;=MAX(DemoHistory[Date])),$A$8,1))</f>
        <v/>
      </c>
      <c r="E909" s="166" t="str">
        <f t="shared" si="39"/>
        <v/>
      </c>
      <c r="F909" s="166" t="str">
        <f>IF($A909&gt;MIN($A$10,$A$2),"",IF($A909&lt;50,"n.a.",IF(COUNT(INDEX(StockDaily[Adjusted close],MAX(1,$A909-50+1)):E909)=50,AVERAGE(INDEX(StockDaily[Adjusted close],MAX(1,$A909-50+1)):E909),"n.a.")))</f>
        <v/>
      </c>
      <c r="G909" s="166" t="str">
        <f>IF($A909&gt;MIN($A$10,$A$2),"",IF($A909&lt;200,"n.a.",IF(COUNT(INDEX(StockDaily[Adjusted close],MAX(1,$A909-200+1)):E909)=200,AVERAGE(INDEX(StockDaily[Adjusted close],MAX(1,$A909-200+1)):E909),"n.a.")))</f>
        <v/>
      </c>
      <c r="H909" s="136" t="str">
        <f>IF($A909&gt;MIN($A$10,$A$2),"",IF($A$5="","Choose stock",IF(NOT($A$12),"Check split rule",IF(NOT(ISNUMBER(B909)),"Invalid date",IF(OR(B909&lt;=0,B909&lt;&gt;INT(B909)),"Invalid date",IF(COUNTIFS(DemoHistory[Date],B909)&lt;&gt;1,"Duplicate date",IF(AND($A909&gt;1,B909&lt;=B908),"Dates out of order",IF(NOT(ISNUMBER(C909)),"Missing price",IF(C909&lt;=0,"Nonpositive price","OK")))))))))</f>
        <v/>
      </c>
      <c r="I909" s="136"/>
      <c r="J909" s="136"/>
      <c r="K909" s="136"/>
      <c r="L909" s="136"/>
      <c r="M909" s="136"/>
      <c r="N909" s="136" t="e">
        <f t="shared" si="40"/>
        <v>#N/A</v>
      </c>
      <c r="O909" s="136" t="e">
        <f t="shared" si="41"/>
        <v>#N/A</v>
      </c>
    </row>
    <row r="910" spans="1:15" ht="22.05" customHeight="1" x14ac:dyDescent="0.3">
      <c r="A910" s="136">
        <v>866</v>
      </c>
      <c r="B910" s="165" t="str">
        <f>IF($A910&gt;MIN($A$10,$A$2),"",INDEX(DemoHistory[Date],$A910))</f>
        <v/>
      </c>
      <c r="C910" s="166" t="str">
        <f>IF(OR($A910&gt;MIN($A$10,$A$2),$A$5=""),"",INDEX(DemoHistory[],$A910,MATCH($A$5,DemoHistory[#Headers],0)))</f>
        <v/>
      </c>
      <c r="D910" s="166" t="str">
        <f>IF($A910&gt;MIN($A$10,$A$2),"",IF(AND($A$12,$A$6=1,B910&lt;$A$7,$A$7&lt;=MAX(DemoHistory[Date])),$A$8,1))</f>
        <v/>
      </c>
      <c r="E910" s="166" t="str">
        <f t="shared" si="39"/>
        <v/>
      </c>
      <c r="F910" s="166" t="str">
        <f>IF($A910&gt;MIN($A$10,$A$2),"",IF($A910&lt;50,"n.a.",IF(COUNT(INDEX(StockDaily[Adjusted close],MAX(1,$A910-50+1)):E910)=50,AVERAGE(INDEX(StockDaily[Adjusted close],MAX(1,$A910-50+1)):E910),"n.a.")))</f>
        <v/>
      </c>
      <c r="G910" s="166" t="str">
        <f>IF($A910&gt;MIN($A$10,$A$2),"",IF($A910&lt;200,"n.a.",IF(COUNT(INDEX(StockDaily[Adjusted close],MAX(1,$A910-200+1)):E910)=200,AVERAGE(INDEX(StockDaily[Adjusted close],MAX(1,$A910-200+1)):E910),"n.a.")))</f>
        <v/>
      </c>
      <c r="H910" s="136" t="str">
        <f>IF($A910&gt;MIN($A$10,$A$2),"",IF($A$5="","Choose stock",IF(NOT($A$12),"Check split rule",IF(NOT(ISNUMBER(B910)),"Invalid date",IF(OR(B910&lt;=0,B910&lt;&gt;INT(B910)),"Invalid date",IF(COUNTIFS(DemoHistory[Date],B910)&lt;&gt;1,"Duplicate date",IF(AND($A910&gt;1,B910&lt;=B909),"Dates out of order",IF(NOT(ISNUMBER(C910)),"Missing price",IF(C910&lt;=0,"Nonpositive price","OK")))))))))</f>
        <v/>
      </c>
      <c r="I910" s="136"/>
      <c r="J910" s="136"/>
      <c r="K910" s="136"/>
      <c r="L910" s="136"/>
      <c r="M910" s="136"/>
      <c r="N910" s="136" t="e">
        <f t="shared" si="40"/>
        <v>#N/A</v>
      </c>
      <c r="O910" s="136" t="e">
        <f t="shared" si="41"/>
        <v>#N/A</v>
      </c>
    </row>
    <row r="911" spans="1:15" ht="22.05" customHeight="1" x14ac:dyDescent="0.3">
      <c r="A911" s="136">
        <v>867</v>
      </c>
      <c r="B911" s="165" t="str">
        <f>IF($A911&gt;MIN($A$10,$A$2),"",INDEX(DemoHistory[Date],$A911))</f>
        <v/>
      </c>
      <c r="C911" s="166" t="str">
        <f>IF(OR($A911&gt;MIN($A$10,$A$2),$A$5=""),"",INDEX(DemoHistory[],$A911,MATCH($A$5,DemoHistory[#Headers],0)))</f>
        <v/>
      </c>
      <c r="D911" s="166" t="str">
        <f>IF($A911&gt;MIN($A$10,$A$2),"",IF(AND($A$12,$A$6=1,B911&lt;$A$7,$A$7&lt;=MAX(DemoHistory[Date])),$A$8,1))</f>
        <v/>
      </c>
      <c r="E911" s="166" t="str">
        <f t="shared" si="39"/>
        <v/>
      </c>
      <c r="F911" s="166" t="str">
        <f>IF($A911&gt;MIN($A$10,$A$2),"",IF($A911&lt;50,"n.a.",IF(COUNT(INDEX(StockDaily[Adjusted close],MAX(1,$A911-50+1)):E911)=50,AVERAGE(INDEX(StockDaily[Adjusted close],MAX(1,$A911-50+1)):E911),"n.a.")))</f>
        <v/>
      </c>
      <c r="G911" s="166" t="str">
        <f>IF($A911&gt;MIN($A$10,$A$2),"",IF($A911&lt;200,"n.a.",IF(COUNT(INDEX(StockDaily[Adjusted close],MAX(1,$A911-200+1)):E911)=200,AVERAGE(INDEX(StockDaily[Adjusted close],MAX(1,$A911-200+1)):E911),"n.a.")))</f>
        <v/>
      </c>
      <c r="H911" s="136" t="str">
        <f>IF($A911&gt;MIN($A$10,$A$2),"",IF($A$5="","Choose stock",IF(NOT($A$12),"Check split rule",IF(NOT(ISNUMBER(B911)),"Invalid date",IF(OR(B911&lt;=0,B911&lt;&gt;INT(B911)),"Invalid date",IF(COUNTIFS(DemoHistory[Date],B911)&lt;&gt;1,"Duplicate date",IF(AND($A911&gt;1,B911&lt;=B910),"Dates out of order",IF(NOT(ISNUMBER(C911)),"Missing price",IF(C911&lt;=0,"Nonpositive price","OK")))))))))</f>
        <v/>
      </c>
      <c r="I911" s="136"/>
      <c r="J911" s="136"/>
      <c r="K911" s="136"/>
      <c r="L911" s="136"/>
      <c r="M911" s="136"/>
      <c r="N911" s="136" t="e">
        <f t="shared" si="40"/>
        <v>#N/A</v>
      </c>
      <c r="O911" s="136" t="e">
        <f t="shared" si="41"/>
        <v>#N/A</v>
      </c>
    </row>
    <row r="912" spans="1:15" ht="22.05" customHeight="1" x14ac:dyDescent="0.3">
      <c r="A912" s="136">
        <v>868</v>
      </c>
      <c r="B912" s="165" t="str">
        <f>IF($A912&gt;MIN($A$10,$A$2),"",INDEX(DemoHistory[Date],$A912))</f>
        <v/>
      </c>
      <c r="C912" s="166" t="str">
        <f>IF(OR($A912&gt;MIN($A$10,$A$2),$A$5=""),"",INDEX(DemoHistory[],$A912,MATCH($A$5,DemoHistory[#Headers],0)))</f>
        <v/>
      </c>
      <c r="D912" s="166" t="str">
        <f>IF($A912&gt;MIN($A$10,$A$2),"",IF(AND($A$12,$A$6=1,B912&lt;$A$7,$A$7&lt;=MAX(DemoHistory[Date])),$A$8,1))</f>
        <v/>
      </c>
      <c r="E912" s="166" t="str">
        <f t="shared" si="39"/>
        <v/>
      </c>
      <c r="F912" s="166" t="str">
        <f>IF($A912&gt;MIN($A$10,$A$2),"",IF($A912&lt;50,"n.a.",IF(COUNT(INDEX(StockDaily[Adjusted close],MAX(1,$A912-50+1)):E912)=50,AVERAGE(INDEX(StockDaily[Adjusted close],MAX(1,$A912-50+1)):E912),"n.a.")))</f>
        <v/>
      </c>
      <c r="G912" s="166" t="str">
        <f>IF($A912&gt;MIN($A$10,$A$2),"",IF($A912&lt;200,"n.a.",IF(COUNT(INDEX(StockDaily[Adjusted close],MAX(1,$A912-200+1)):E912)=200,AVERAGE(INDEX(StockDaily[Adjusted close],MAX(1,$A912-200+1)):E912),"n.a.")))</f>
        <v/>
      </c>
      <c r="H912" s="136" t="str">
        <f>IF($A912&gt;MIN($A$10,$A$2),"",IF($A$5="","Choose stock",IF(NOT($A$12),"Check split rule",IF(NOT(ISNUMBER(B912)),"Invalid date",IF(OR(B912&lt;=0,B912&lt;&gt;INT(B912)),"Invalid date",IF(COUNTIFS(DemoHistory[Date],B912)&lt;&gt;1,"Duplicate date",IF(AND($A912&gt;1,B912&lt;=B911),"Dates out of order",IF(NOT(ISNUMBER(C912)),"Missing price",IF(C912&lt;=0,"Nonpositive price","OK")))))))))</f>
        <v/>
      </c>
      <c r="I912" s="136"/>
      <c r="J912" s="136"/>
      <c r="K912" s="136"/>
      <c r="L912" s="136"/>
      <c r="M912" s="136"/>
      <c r="N912" s="136" t="e">
        <f t="shared" si="40"/>
        <v>#N/A</v>
      </c>
      <c r="O912" s="136" t="e">
        <f t="shared" si="41"/>
        <v>#N/A</v>
      </c>
    </row>
    <row r="913" spans="1:15" ht="22.05" customHeight="1" x14ac:dyDescent="0.3">
      <c r="A913" s="136">
        <v>869</v>
      </c>
      <c r="B913" s="165" t="str">
        <f>IF($A913&gt;MIN($A$10,$A$2),"",INDEX(DemoHistory[Date],$A913))</f>
        <v/>
      </c>
      <c r="C913" s="166" t="str">
        <f>IF(OR($A913&gt;MIN($A$10,$A$2),$A$5=""),"",INDEX(DemoHistory[],$A913,MATCH($A$5,DemoHistory[#Headers],0)))</f>
        <v/>
      </c>
      <c r="D913" s="166" t="str">
        <f>IF($A913&gt;MIN($A$10,$A$2),"",IF(AND($A$12,$A$6=1,B913&lt;$A$7,$A$7&lt;=MAX(DemoHistory[Date])),$A$8,1))</f>
        <v/>
      </c>
      <c r="E913" s="166" t="str">
        <f t="shared" si="39"/>
        <v/>
      </c>
      <c r="F913" s="166" t="str">
        <f>IF($A913&gt;MIN($A$10,$A$2),"",IF($A913&lt;50,"n.a.",IF(COUNT(INDEX(StockDaily[Adjusted close],MAX(1,$A913-50+1)):E913)=50,AVERAGE(INDEX(StockDaily[Adjusted close],MAX(1,$A913-50+1)):E913),"n.a.")))</f>
        <v/>
      </c>
      <c r="G913" s="166" t="str">
        <f>IF($A913&gt;MIN($A$10,$A$2),"",IF($A913&lt;200,"n.a.",IF(COUNT(INDEX(StockDaily[Adjusted close],MAX(1,$A913-200+1)):E913)=200,AVERAGE(INDEX(StockDaily[Adjusted close],MAX(1,$A913-200+1)):E913),"n.a.")))</f>
        <v/>
      </c>
      <c r="H913" s="136" t="str">
        <f>IF($A913&gt;MIN($A$10,$A$2),"",IF($A$5="","Choose stock",IF(NOT($A$12),"Check split rule",IF(NOT(ISNUMBER(B913)),"Invalid date",IF(OR(B913&lt;=0,B913&lt;&gt;INT(B913)),"Invalid date",IF(COUNTIFS(DemoHistory[Date],B913)&lt;&gt;1,"Duplicate date",IF(AND($A913&gt;1,B913&lt;=B912),"Dates out of order",IF(NOT(ISNUMBER(C913)),"Missing price",IF(C913&lt;=0,"Nonpositive price","OK")))))))))</f>
        <v/>
      </c>
      <c r="I913" s="136"/>
      <c r="J913" s="136"/>
      <c r="K913" s="136"/>
      <c r="L913" s="136"/>
      <c r="M913" s="136"/>
      <c r="N913" s="136" t="e">
        <f t="shared" si="40"/>
        <v>#N/A</v>
      </c>
      <c r="O913" s="136" t="e">
        <f t="shared" si="41"/>
        <v>#N/A</v>
      </c>
    </row>
    <row r="914" spans="1:15" ht="22.05" customHeight="1" x14ac:dyDescent="0.3">
      <c r="A914" s="136">
        <v>870</v>
      </c>
      <c r="B914" s="165" t="str">
        <f>IF($A914&gt;MIN($A$10,$A$2),"",INDEX(DemoHistory[Date],$A914))</f>
        <v/>
      </c>
      <c r="C914" s="166" t="str">
        <f>IF(OR($A914&gt;MIN($A$10,$A$2),$A$5=""),"",INDEX(DemoHistory[],$A914,MATCH($A$5,DemoHistory[#Headers],0)))</f>
        <v/>
      </c>
      <c r="D914" s="166" t="str">
        <f>IF($A914&gt;MIN($A$10,$A$2),"",IF(AND($A$12,$A$6=1,B914&lt;$A$7,$A$7&lt;=MAX(DemoHistory[Date])),$A$8,1))</f>
        <v/>
      </c>
      <c r="E914" s="166" t="str">
        <f t="shared" si="39"/>
        <v/>
      </c>
      <c r="F914" s="166" t="str">
        <f>IF($A914&gt;MIN($A$10,$A$2),"",IF($A914&lt;50,"n.a.",IF(COUNT(INDEX(StockDaily[Adjusted close],MAX(1,$A914-50+1)):E914)=50,AVERAGE(INDEX(StockDaily[Adjusted close],MAX(1,$A914-50+1)):E914),"n.a.")))</f>
        <v/>
      </c>
      <c r="G914" s="166" t="str">
        <f>IF($A914&gt;MIN($A$10,$A$2),"",IF($A914&lt;200,"n.a.",IF(COUNT(INDEX(StockDaily[Adjusted close],MAX(1,$A914-200+1)):E914)=200,AVERAGE(INDEX(StockDaily[Adjusted close],MAX(1,$A914-200+1)):E914),"n.a.")))</f>
        <v/>
      </c>
      <c r="H914" s="136" t="str">
        <f>IF($A914&gt;MIN($A$10,$A$2),"",IF($A$5="","Choose stock",IF(NOT($A$12),"Check split rule",IF(NOT(ISNUMBER(B914)),"Invalid date",IF(OR(B914&lt;=0,B914&lt;&gt;INT(B914)),"Invalid date",IF(COUNTIFS(DemoHistory[Date],B914)&lt;&gt;1,"Duplicate date",IF(AND($A914&gt;1,B914&lt;=B913),"Dates out of order",IF(NOT(ISNUMBER(C914)),"Missing price",IF(C914&lt;=0,"Nonpositive price","OK")))))))))</f>
        <v/>
      </c>
      <c r="I914" s="136"/>
      <c r="J914" s="136"/>
      <c r="K914" s="136"/>
      <c r="L914" s="136"/>
      <c r="M914" s="136"/>
      <c r="N914" s="136" t="e">
        <f t="shared" si="40"/>
        <v>#N/A</v>
      </c>
      <c r="O914" s="136" t="e">
        <f t="shared" si="41"/>
        <v>#N/A</v>
      </c>
    </row>
    <row r="915" spans="1:15" ht="22.05" customHeight="1" x14ac:dyDescent="0.3">
      <c r="A915" s="136">
        <v>871</v>
      </c>
      <c r="B915" s="165" t="str">
        <f>IF($A915&gt;MIN($A$10,$A$2),"",INDEX(DemoHistory[Date],$A915))</f>
        <v/>
      </c>
      <c r="C915" s="166" t="str">
        <f>IF(OR($A915&gt;MIN($A$10,$A$2),$A$5=""),"",INDEX(DemoHistory[],$A915,MATCH($A$5,DemoHistory[#Headers],0)))</f>
        <v/>
      </c>
      <c r="D915" s="166" t="str">
        <f>IF($A915&gt;MIN($A$10,$A$2),"",IF(AND($A$12,$A$6=1,B915&lt;$A$7,$A$7&lt;=MAX(DemoHistory[Date])),$A$8,1))</f>
        <v/>
      </c>
      <c r="E915" s="166" t="str">
        <f t="shared" si="39"/>
        <v/>
      </c>
      <c r="F915" s="166" t="str">
        <f>IF($A915&gt;MIN($A$10,$A$2),"",IF($A915&lt;50,"n.a.",IF(COUNT(INDEX(StockDaily[Adjusted close],MAX(1,$A915-50+1)):E915)=50,AVERAGE(INDEX(StockDaily[Adjusted close],MAX(1,$A915-50+1)):E915),"n.a.")))</f>
        <v/>
      </c>
      <c r="G915" s="166" t="str">
        <f>IF($A915&gt;MIN($A$10,$A$2),"",IF($A915&lt;200,"n.a.",IF(COUNT(INDEX(StockDaily[Adjusted close],MAX(1,$A915-200+1)):E915)=200,AVERAGE(INDEX(StockDaily[Adjusted close],MAX(1,$A915-200+1)):E915),"n.a.")))</f>
        <v/>
      </c>
      <c r="H915" s="136" t="str">
        <f>IF($A915&gt;MIN($A$10,$A$2),"",IF($A$5="","Choose stock",IF(NOT($A$12),"Check split rule",IF(NOT(ISNUMBER(B915)),"Invalid date",IF(OR(B915&lt;=0,B915&lt;&gt;INT(B915)),"Invalid date",IF(COUNTIFS(DemoHistory[Date],B915)&lt;&gt;1,"Duplicate date",IF(AND($A915&gt;1,B915&lt;=B914),"Dates out of order",IF(NOT(ISNUMBER(C915)),"Missing price",IF(C915&lt;=0,"Nonpositive price","OK")))))))))</f>
        <v/>
      </c>
      <c r="I915" s="136"/>
      <c r="J915" s="136"/>
      <c r="K915" s="136"/>
      <c r="L915" s="136"/>
      <c r="M915" s="136"/>
      <c r="N915" s="136" t="e">
        <f t="shared" si="40"/>
        <v>#N/A</v>
      </c>
      <c r="O915" s="136" t="e">
        <f t="shared" si="41"/>
        <v>#N/A</v>
      </c>
    </row>
    <row r="916" spans="1:15" ht="22.05" customHeight="1" x14ac:dyDescent="0.3">
      <c r="A916" s="136">
        <v>872</v>
      </c>
      <c r="B916" s="165" t="str">
        <f>IF($A916&gt;MIN($A$10,$A$2),"",INDEX(DemoHistory[Date],$A916))</f>
        <v/>
      </c>
      <c r="C916" s="166" t="str">
        <f>IF(OR($A916&gt;MIN($A$10,$A$2),$A$5=""),"",INDEX(DemoHistory[],$A916,MATCH($A$5,DemoHistory[#Headers],0)))</f>
        <v/>
      </c>
      <c r="D916" s="166" t="str">
        <f>IF($A916&gt;MIN($A$10,$A$2),"",IF(AND($A$12,$A$6=1,B916&lt;$A$7,$A$7&lt;=MAX(DemoHistory[Date])),$A$8,1))</f>
        <v/>
      </c>
      <c r="E916" s="166" t="str">
        <f t="shared" si="39"/>
        <v/>
      </c>
      <c r="F916" s="166" t="str">
        <f>IF($A916&gt;MIN($A$10,$A$2),"",IF($A916&lt;50,"n.a.",IF(COUNT(INDEX(StockDaily[Adjusted close],MAX(1,$A916-50+1)):E916)=50,AVERAGE(INDEX(StockDaily[Adjusted close],MAX(1,$A916-50+1)):E916),"n.a.")))</f>
        <v/>
      </c>
      <c r="G916" s="166" t="str">
        <f>IF($A916&gt;MIN($A$10,$A$2),"",IF($A916&lt;200,"n.a.",IF(COUNT(INDEX(StockDaily[Adjusted close],MAX(1,$A916-200+1)):E916)=200,AVERAGE(INDEX(StockDaily[Adjusted close],MAX(1,$A916-200+1)):E916),"n.a.")))</f>
        <v/>
      </c>
      <c r="H916" s="136" t="str">
        <f>IF($A916&gt;MIN($A$10,$A$2),"",IF($A$5="","Choose stock",IF(NOT($A$12),"Check split rule",IF(NOT(ISNUMBER(B916)),"Invalid date",IF(OR(B916&lt;=0,B916&lt;&gt;INT(B916)),"Invalid date",IF(COUNTIFS(DemoHistory[Date],B916)&lt;&gt;1,"Duplicate date",IF(AND($A916&gt;1,B916&lt;=B915),"Dates out of order",IF(NOT(ISNUMBER(C916)),"Missing price",IF(C916&lt;=0,"Nonpositive price","OK")))))))))</f>
        <v/>
      </c>
      <c r="I916" s="136"/>
      <c r="J916" s="136"/>
      <c r="K916" s="136"/>
      <c r="L916" s="136"/>
      <c r="M916" s="136"/>
      <c r="N916" s="136" t="e">
        <f t="shared" si="40"/>
        <v>#N/A</v>
      </c>
      <c r="O916" s="136" t="e">
        <f t="shared" si="41"/>
        <v>#N/A</v>
      </c>
    </row>
    <row r="917" spans="1:15" ht="22.05" customHeight="1" x14ac:dyDescent="0.3">
      <c r="A917" s="136">
        <v>873</v>
      </c>
      <c r="B917" s="165" t="str">
        <f>IF($A917&gt;MIN($A$10,$A$2),"",INDEX(DemoHistory[Date],$A917))</f>
        <v/>
      </c>
      <c r="C917" s="166" t="str">
        <f>IF(OR($A917&gt;MIN($A$10,$A$2),$A$5=""),"",INDEX(DemoHistory[],$A917,MATCH($A$5,DemoHistory[#Headers],0)))</f>
        <v/>
      </c>
      <c r="D917" s="166" t="str">
        <f>IF($A917&gt;MIN($A$10,$A$2),"",IF(AND($A$12,$A$6=1,B917&lt;$A$7,$A$7&lt;=MAX(DemoHistory[Date])),$A$8,1))</f>
        <v/>
      </c>
      <c r="E917" s="166" t="str">
        <f t="shared" si="39"/>
        <v/>
      </c>
      <c r="F917" s="166" t="str">
        <f>IF($A917&gt;MIN($A$10,$A$2),"",IF($A917&lt;50,"n.a.",IF(COUNT(INDEX(StockDaily[Adjusted close],MAX(1,$A917-50+1)):E917)=50,AVERAGE(INDEX(StockDaily[Adjusted close],MAX(1,$A917-50+1)):E917),"n.a.")))</f>
        <v/>
      </c>
      <c r="G917" s="166" t="str">
        <f>IF($A917&gt;MIN($A$10,$A$2),"",IF($A917&lt;200,"n.a.",IF(COUNT(INDEX(StockDaily[Adjusted close],MAX(1,$A917-200+1)):E917)=200,AVERAGE(INDEX(StockDaily[Adjusted close],MAX(1,$A917-200+1)):E917),"n.a.")))</f>
        <v/>
      </c>
      <c r="H917" s="136" t="str">
        <f>IF($A917&gt;MIN($A$10,$A$2),"",IF($A$5="","Choose stock",IF(NOT($A$12),"Check split rule",IF(NOT(ISNUMBER(B917)),"Invalid date",IF(OR(B917&lt;=0,B917&lt;&gt;INT(B917)),"Invalid date",IF(COUNTIFS(DemoHistory[Date],B917)&lt;&gt;1,"Duplicate date",IF(AND($A917&gt;1,B917&lt;=B916),"Dates out of order",IF(NOT(ISNUMBER(C917)),"Missing price",IF(C917&lt;=0,"Nonpositive price","OK")))))))))</f>
        <v/>
      </c>
      <c r="I917" s="136"/>
      <c r="J917" s="136"/>
      <c r="K917" s="136"/>
      <c r="L917" s="136"/>
      <c r="M917" s="136"/>
      <c r="N917" s="136" t="e">
        <f t="shared" si="40"/>
        <v>#N/A</v>
      </c>
      <c r="O917" s="136" t="e">
        <f t="shared" si="41"/>
        <v>#N/A</v>
      </c>
    </row>
    <row r="918" spans="1:15" ht="22.05" customHeight="1" x14ac:dyDescent="0.3">
      <c r="A918" s="136">
        <v>874</v>
      </c>
      <c r="B918" s="165" t="str">
        <f>IF($A918&gt;MIN($A$10,$A$2),"",INDEX(DemoHistory[Date],$A918))</f>
        <v/>
      </c>
      <c r="C918" s="166" t="str">
        <f>IF(OR($A918&gt;MIN($A$10,$A$2),$A$5=""),"",INDEX(DemoHistory[],$A918,MATCH($A$5,DemoHistory[#Headers],0)))</f>
        <v/>
      </c>
      <c r="D918" s="166" t="str">
        <f>IF($A918&gt;MIN($A$10,$A$2),"",IF(AND($A$12,$A$6=1,B918&lt;$A$7,$A$7&lt;=MAX(DemoHistory[Date])),$A$8,1))</f>
        <v/>
      </c>
      <c r="E918" s="166" t="str">
        <f t="shared" si="39"/>
        <v/>
      </c>
      <c r="F918" s="166" t="str">
        <f>IF($A918&gt;MIN($A$10,$A$2),"",IF($A918&lt;50,"n.a.",IF(COUNT(INDEX(StockDaily[Adjusted close],MAX(1,$A918-50+1)):E918)=50,AVERAGE(INDEX(StockDaily[Adjusted close],MAX(1,$A918-50+1)):E918),"n.a.")))</f>
        <v/>
      </c>
      <c r="G918" s="166" t="str">
        <f>IF($A918&gt;MIN($A$10,$A$2),"",IF($A918&lt;200,"n.a.",IF(COUNT(INDEX(StockDaily[Adjusted close],MAX(1,$A918-200+1)):E918)=200,AVERAGE(INDEX(StockDaily[Adjusted close],MAX(1,$A918-200+1)):E918),"n.a.")))</f>
        <v/>
      </c>
      <c r="H918" s="136" t="str">
        <f>IF($A918&gt;MIN($A$10,$A$2),"",IF($A$5="","Choose stock",IF(NOT($A$12),"Check split rule",IF(NOT(ISNUMBER(B918)),"Invalid date",IF(OR(B918&lt;=0,B918&lt;&gt;INT(B918)),"Invalid date",IF(COUNTIFS(DemoHistory[Date],B918)&lt;&gt;1,"Duplicate date",IF(AND($A918&gt;1,B918&lt;=B917),"Dates out of order",IF(NOT(ISNUMBER(C918)),"Missing price",IF(C918&lt;=0,"Nonpositive price","OK")))))))))</f>
        <v/>
      </c>
      <c r="I918" s="136"/>
      <c r="J918" s="136"/>
      <c r="K918" s="136"/>
      <c r="L918" s="136"/>
      <c r="M918" s="136"/>
      <c r="N918" s="136" t="e">
        <f t="shared" si="40"/>
        <v>#N/A</v>
      </c>
      <c r="O918" s="136" t="e">
        <f t="shared" si="41"/>
        <v>#N/A</v>
      </c>
    </row>
    <row r="919" spans="1:15" ht="22.05" customHeight="1" x14ac:dyDescent="0.3">
      <c r="A919" s="136">
        <v>875</v>
      </c>
      <c r="B919" s="165" t="str">
        <f>IF($A919&gt;MIN($A$10,$A$2),"",INDEX(DemoHistory[Date],$A919))</f>
        <v/>
      </c>
      <c r="C919" s="166" t="str">
        <f>IF(OR($A919&gt;MIN($A$10,$A$2),$A$5=""),"",INDEX(DemoHistory[],$A919,MATCH($A$5,DemoHistory[#Headers],0)))</f>
        <v/>
      </c>
      <c r="D919" s="166" t="str">
        <f>IF($A919&gt;MIN($A$10,$A$2),"",IF(AND($A$12,$A$6=1,B919&lt;$A$7,$A$7&lt;=MAX(DemoHistory[Date])),$A$8,1))</f>
        <v/>
      </c>
      <c r="E919" s="166" t="str">
        <f t="shared" si="39"/>
        <v/>
      </c>
      <c r="F919" s="166" t="str">
        <f>IF($A919&gt;MIN($A$10,$A$2),"",IF($A919&lt;50,"n.a.",IF(COUNT(INDEX(StockDaily[Adjusted close],MAX(1,$A919-50+1)):E919)=50,AVERAGE(INDEX(StockDaily[Adjusted close],MAX(1,$A919-50+1)):E919),"n.a.")))</f>
        <v/>
      </c>
      <c r="G919" s="166" t="str">
        <f>IF($A919&gt;MIN($A$10,$A$2),"",IF($A919&lt;200,"n.a.",IF(COUNT(INDEX(StockDaily[Adjusted close],MAX(1,$A919-200+1)):E919)=200,AVERAGE(INDEX(StockDaily[Adjusted close],MAX(1,$A919-200+1)):E919),"n.a.")))</f>
        <v/>
      </c>
      <c r="H919" s="136" t="str">
        <f>IF($A919&gt;MIN($A$10,$A$2),"",IF($A$5="","Choose stock",IF(NOT($A$12),"Check split rule",IF(NOT(ISNUMBER(B919)),"Invalid date",IF(OR(B919&lt;=0,B919&lt;&gt;INT(B919)),"Invalid date",IF(COUNTIFS(DemoHistory[Date],B919)&lt;&gt;1,"Duplicate date",IF(AND($A919&gt;1,B919&lt;=B918),"Dates out of order",IF(NOT(ISNUMBER(C919)),"Missing price",IF(C919&lt;=0,"Nonpositive price","OK")))))))))</f>
        <v/>
      </c>
      <c r="I919" s="136"/>
      <c r="J919" s="136"/>
      <c r="K919" s="136"/>
      <c r="L919" s="136"/>
      <c r="M919" s="136"/>
      <c r="N919" s="136" t="e">
        <f t="shared" si="40"/>
        <v>#N/A</v>
      </c>
      <c r="O919" s="136" t="e">
        <f t="shared" si="41"/>
        <v>#N/A</v>
      </c>
    </row>
    <row r="920" spans="1:15" ht="22.05" customHeight="1" x14ac:dyDescent="0.3">
      <c r="A920" s="136">
        <v>876</v>
      </c>
      <c r="B920" s="165" t="str">
        <f>IF($A920&gt;MIN($A$10,$A$2),"",INDEX(DemoHistory[Date],$A920))</f>
        <v/>
      </c>
      <c r="C920" s="166" t="str">
        <f>IF(OR($A920&gt;MIN($A$10,$A$2),$A$5=""),"",INDEX(DemoHistory[],$A920,MATCH($A$5,DemoHistory[#Headers],0)))</f>
        <v/>
      </c>
      <c r="D920" s="166" t="str">
        <f>IF($A920&gt;MIN($A$10,$A$2),"",IF(AND($A$12,$A$6=1,B920&lt;$A$7,$A$7&lt;=MAX(DemoHistory[Date])),$A$8,1))</f>
        <v/>
      </c>
      <c r="E920" s="166" t="str">
        <f t="shared" si="39"/>
        <v/>
      </c>
      <c r="F920" s="166" t="str">
        <f>IF($A920&gt;MIN($A$10,$A$2),"",IF($A920&lt;50,"n.a.",IF(COUNT(INDEX(StockDaily[Adjusted close],MAX(1,$A920-50+1)):E920)=50,AVERAGE(INDEX(StockDaily[Adjusted close],MAX(1,$A920-50+1)):E920),"n.a.")))</f>
        <v/>
      </c>
      <c r="G920" s="166" t="str">
        <f>IF($A920&gt;MIN($A$10,$A$2),"",IF($A920&lt;200,"n.a.",IF(COUNT(INDEX(StockDaily[Adjusted close],MAX(1,$A920-200+1)):E920)=200,AVERAGE(INDEX(StockDaily[Adjusted close],MAX(1,$A920-200+1)):E920),"n.a.")))</f>
        <v/>
      </c>
      <c r="H920" s="136" t="str">
        <f>IF($A920&gt;MIN($A$10,$A$2),"",IF($A$5="","Choose stock",IF(NOT($A$12),"Check split rule",IF(NOT(ISNUMBER(B920)),"Invalid date",IF(OR(B920&lt;=0,B920&lt;&gt;INT(B920)),"Invalid date",IF(COUNTIFS(DemoHistory[Date],B920)&lt;&gt;1,"Duplicate date",IF(AND($A920&gt;1,B920&lt;=B919),"Dates out of order",IF(NOT(ISNUMBER(C920)),"Missing price",IF(C920&lt;=0,"Nonpositive price","OK")))))))))</f>
        <v/>
      </c>
      <c r="I920" s="136"/>
      <c r="J920" s="136"/>
      <c r="K920" s="136"/>
      <c r="L920" s="136"/>
      <c r="M920" s="136"/>
      <c r="N920" s="136" t="e">
        <f t="shared" si="40"/>
        <v>#N/A</v>
      </c>
      <c r="O920" s="136" t="e">
        <f t="shared" si="41"/>
        <v>#N/A</v>
      </c>
    </row>
    <row r="921" spans="1:15" ht="22.05" customHeight="1" x14ac:dyDescent="0.3">
      <c r="A921" s="136">
        <v>877</v>
      </c>
      <c r="B921" s="165" t="str">
        <f>IF($A921&gt;MIN($A$10,$A$2),"",INDEX(DemoHistory[Date],$A921))</f>
        <v/>
      </c>
      <c r="C921" s="166" t="str">
        <f>IF(OR($A921&gt;MIN($A$10,$A$2),$A$5=""),"",INDEX(DemoHistory[],$A921,MATCH($A$5,DemoHistory[#Headers],0)))</f>
        <v/>
      </c>
      <c r="D921" s="166" t="str">
        <f>IF($A921&gt;MIN($A$10,$A$2),"",IF(AND($A$12,$A$6=1,B921&lt;$A$7,$A$7&lt;=MAX(DemoHistory[Date])),$A$8,1))</f>
        <v/>
      </c>
      <c r="E921" s="166" t="str">
        <f t="shared" si="39"/>
        <v/>
      </c>
      <c r="F921" s="166" t="str">
        <f>IF($A921&gt;MIN($A$10,$A$2),"",IF($A921&lt;50,"n.a.",IF(COUNT(INDEX(StockDaily[Adjusted close],MAX(1,$A921-50+1)):E921)=50,AVERAGE(INDEX(StockDaily[Adjusted close],MAX(1,$A921-50+1)):E921),"n.a.")))</f>
        <v/>
      </c>
      <c r="G921" s="166" t="str">
        <f>IF($A921&gt;MIN($A$10,$A$2),"",IF($A921&lt;200,"n.a.",IF(COUNT(INDEX(StockDaily[Adjusted close],MAX(1,$A921-200+1)):E921)=200,AVERAGE(INDEX(StockDaily[Adjusted close],MAX(1,$A921-200+1)):E921),"n.a.")))</f>
        <v/>
      </c>
      <c r="H921" s="136" t="str">
        <f>IF($A921&gt;MIN($A$10,$A$2),"",IF($A$5="","Choose stock",IF(NOT($A$12),"Check split rule",IF(NOT(ISNUMBER(B921)),"Invalid date",IF(OR(B921&lt;=0,B921&lt;&gt;INT(B921)),"Invalid date",IF(COUNTIFS(DemoHistory[Date],B921)&lt;&gt;1,"Duplicate date",IF(AND($A921&gt;1,B921&lt;=B920),"Dates out of order",IF(NOT(ISNUMBER(C921)),"Missing price",IF(C921&lt;=0,"Nonpositive price","OK")))))))))</f>
        <v/>
      </c>
      <c r="I921" s="136"/>
      <c r="J921" s="136"/>
      <c r="K921" s="136"/>
      <c r="L921" s="136"/>
      <c r="M921" s="136"/>
      <c r="N921" s="136" t="e">
        <f t="shared" si="40"/>
        <v>#N/A</v>
      </c>
      <c r="O921" s="136" t="e">
        <f t="shared" si="41"/>
        <v>#N/A</v>
      </c>
    </row>
    <row r="922" spans="1:15" ht="22.05" customHeight="1" x14ac:dyDescent="0.3">
      <c r="A922" s="136">
        <v>878</v>
      </c>
      <c r="B922" s="165" t="str">
        <f>IF($A922&gt;MIN($A$10,$A$2),"",INDEX(DemoHistory[Date],$A922))</f>
        <v/>
      </c>
      <c r="C922" s="166" t="str">
        <f>IF(OR($A922&gt;MIN($A$10,$A$2),$A$5=""),"",INDEX(DemoHistory[],$A922,MATCH($A$5,DemoHistory[#Headers],0)))</f>
        <v/>
      </c>
      <c r="D922" s="166" t="str">
        <f>IF($A922&gt;MIN($A$10,$A$2),"",IF(AND($A$12,$A$6=1,B922&lt;$A$7,$A$7&lt;=MAX(DemoHistory[Date])),$A$8,1))</f>
        <v/>
      </c>
      <c r="E922" s="166" t="str">
        <f t="shared" si="39"/>
        <v/>
      </c>
      <c r="F922" s="166" t="str">
        <f>IF($A922&gt;MIN($A$10,$A$2),"",IF($A922&lt;50,"n.a.",IF(COUNT(INDEX(StockDaily[Adjusted close],MAX(1,$A922-50+1)):E922)=50,AVERAGE(INDEX(StockDaily[Adjusted close],MAX(1,$A922-50+1)):E922),"n.a.")))</f>
        <v/>
      </c>
      <c r="G922" s="166" t="str">
        <f>IF($A922&gt;MIN($A$10,$A$2),"",IF($A922&lt;200,"n.a.",IF(COUNT(INDEX(StockDaily[Adjusted close],MAX(1,$A922-200+1)):E922)=200,AVERAGE(INDEX(StockDaily[Adjusted close],MAX(1,$A922-200+1)):E922),"n.a.")))</f>
        <v/>
      </c>
      <c r="H922" s="136" t="str">
        <f>IF($A922&gt;MIN($A$10,$A$2),"",IF($A$5="","Choose stock",IF(NOT($A$12),"Check split rule",IF(NOT(ISNUMBER(B922)),"Invalid date",IF(OR(B922&lt;=0,B922&lt;&gt;INT(B922)),"Invalid date",IF(COUNTIFS(DemoHistory[Date],B922)&lt;&gt;1,"Duplicate date",IF(AND($A922&gt;1,B922&lt;=B921),"Dates out of order",IF(NOT(ISNUMBER(C922)),"Missing price",IF(C922&lt;=0,"Nonpositive price","OK")))))))))</f>
        <v/>
      </c>
      <c r="I922" s="136"/>
      <c r="J922" s="136"/>
      <c r="K922" s="136"/>
      <c r="L922" s="136"/>
      <c r="M922" s="136"/>
      <c r="N922" s="136" t="e">
        <f t="shared" si="40"/>
        <v>#N/A</v>
      </c>
      <c r="O922" s="136" t="e">
        <f t="shared" si="41"/>
        <v>#N/A</v>
      </c>
    </row>
    <row r="923" spans="1:15" ht="22.05" customHeight="1" x14ac:dyDescent="0.3">
      <c r="A923" s="136">
        <v>879</v>
      </c>
      <c r="B923" s="165" t="str">
        <f>IF($A923&gt;MIN($A$10,$A$2),"",INDEX(DemoHistory[Date],$A923))</f>
        <v/>
      </c>
      <c r="C923" s="166" t="str">
        <f>IF(OR($A923&gt;MIN($A$10,$A$2),$A$5=""),"",INDEX(DemoHistory[],$A923,MATCH($A$5,DemoHistory[#Headers],0)))</f>
        <v/>
      </c>
      <c r="D923" s="166" t="str">
        <f>IF($A923&gt;MIN($A$10,$A$2),"",IF(AND($A$12,$A$6=1,B923&lt;$A$7,$A$7&lt;=MAX(DemoHistory[Date])),$A$8,1))</f>
        <v/>
      </c>
      <c r="E923" s="166" t="str">
        <f t="shared" si="39"/>
        <v/>
      </c>
      <c r="F923" s="166" t="str">
        <f>IF($A923&gt;MIN($A$10,$A$2),"",IF($A923&lt;50,"n.a.",IF(COUNT(INDEX(StockDaily[Adjusted close],MAX(1,$A923-50+1)):E923)=50,AVERAGE(INDEX(StockDaily[Adjusted close],MAX(1,$A923-50+1)):E923),"n.a.")))</f>
        <v/>
      </c>
      <c r="G923" s="166" t="str">
        <f>IF($A923&gt;MIN($A$10,$A$2),"",IF($A923&lt;200,"n.a.",IF(COUNT(INDEX(StockDaily[Adjusted close],MAX(1,$A923-200+1)):E923)=200,AVERAGE(INDEX(StockDaily[Adjusted close],MAX(1,$A923-200+1)):E923),"n.a.")))</f>
        <v/>
      </c>
      <c r="H923" s="136" t="str">
        <f>IF($A923&gt;MIN($A$10,$A$2),"",IF($A$5="","Choose stock",IF(NOT($A$12),"Check split rule",IF(NOT(ISNUMBER(B923)),"Invalid date",IF(OR(B923&lt;=0,B923&lt;&gt;INT(B923)),"Invalid date",IF(COUNTIFS(DemoHistory[Date],B923)&lt;&gt;1,"Duplicate date",IF(AND($A923&gt;1,B923&lt;=B922),"Dates out of order",IF(NOT(ISNUMBER(C923)),"Missing price",IF(C923&lt;=0,"Nonpositive price","OK")))))))))</f>
        <v/>
      </c>
      <c r="I923" s="136"/>
      <c r="J923" s="136"/>
      <c r="K923" s="136"/>
      <c r="L923" s="136"/>
      <c r="M923" s="136"/>
      <c r="N923" s="136" t="e">
        <f t="shared" si="40"/>
        <v>#N/A</v>
      </c>
      <c r="O923" s="136" t="e">
        <f t="shared" si="41"/>
        <v>#N/A</v>
      </c>
    </row>
    <row r="924" spans="1:15" ht="22.05" customHeight="1" x14ac:dyDescent="0.3">
      <c r="A924" s="136">
        <v>880</v>
      </c>
      <c r="B924" s="165" t="str">
        <f>IF($A924&gt;MIN($A$10,$A$2),"",INDEX(DemoHistory[Date],$A924))</f>
        <v/>
      </c>
      <c r="C924" s="166" t="str">
        <f>IF(OR($A924&gt;MIN($A$10,$A$2),$A$5=""),"",INDEX(DemoHistory[],$A924,MATCH($A$5,DemoHistory[#Headers],0)))</f>
        <v/>
      </c>
      <c r="D924" s="166" t="str">
        <f>IF($A924&gt;MIN($A$10,$A$2),"",IF(AND($A$12,$A$6=1,B924&lt;$A$7,$A$7&lt;=MAX(DemoHistory[Date])),$A$8,1))</f>
        <v/>
      </c>
      <c r="E924" s="166" t="str">
        <f t="shared" si="39"/>
        <v/>
      </c>
      <c r="F924" s="166" t="str">
        <f>IF($A924&gt;MIN($A$10,$A$2),"",IF($A924&lt;50,"n.a.",IF(COUNT(INDEX(StockDaily[Adjusted close],MAX(1,$A924-50+1)):E924)=50,AVERAGE(INDEX(StockDaily[Adjusted close],MAX(1,$A924-50+1)):E924),"n.a.")))</f>
        <v/>
      </c>
      <c r="G924" s="166" t="str">
        <f>IF($A924&gt;MIN($A$10,$A$2),"",IF($A924&lt;200,"n.a.",IF(COUNT(INDEX(StockDaily[Adjusted close],MAX(1,$A924-200+1)):E924)=200,AVERAGE(INDEX(StockDaily[Adjusted close],MAX(1,$A924-200+1)):E924),"n.a.")))</f>
        <v/>
      </c>
      <c r="H924" s="136" t="str">
        <f>IF($A924&gt;MIN($A$10,$A$2),"",IF($A$5="","Choose stock",IF(NOT($A$12),"Check split rule",IF(NOT(ISNUMBER(B924)),"Invalid date",IF(OR(B924&lt;=0,B924&lt;&gt;INT(B924)),"Invalid date",IF(COUNTIFS(DemoHistory[Date],B924)&lt;&gt;1,"Duplicate date",IF(AND($A924&gt;1,B924&lt;=B923),"Dates out of order",IF(NOT(ISNUMBER(C924)),"Missing price",IF(C924&lt;=0,"Nonpositive price","OK")))))))))</f>
        <v/>
      </c>
      <c r="I924" s="136"/>
      <c r="J924" s="136"/>
      <c r="K924" s="136"/>
      <c r="L924" s="136"/>
      <c r="M924" s="136"/>
      <c r="N924" s="136" t="e">
        <f t="shared" si="40"/>
        <v>#N/A</v>
      </c>
      <c r="O924" s="136" t="e">
        <f t="shared" si="41"/>
        <v>#N/A</v>
      </c>
    </row>
    <row r="925" spans="1:15" ht="22.05" customHeight="1" x14ac:dyDescent="0.3">
      <c r="A925" s="136">
        <v>881</v>
      </c>
      <c r="B925" s="165" t="str">
        <f>IF($A925&gt;MIN($A$10,$A$2),"",INDEX(DemoHistory[Date],$A925))</f>
        <v/>
      </c>
      <c r="C925" s="166" t="str">
        <f>IF(OR($A925&gt;MIN($A$10,$A$2),$A$5=""),"",INDEX(DemoHistory[],$A925,MATCH($A$5,DemoHistory[#Headers],0)))</f>
        <v/>
      </c>
      <c r="D925" s="166" t="str">
        <f>IF($A925&gt;MIN($A$10,$A$2),"",IF(AND($A$12,$A$6=1,B925&lt;$A$7,$A$7&lt;=MAX(DemoHistory[Date])),$A$8,1))</f>
        <v/>
      </c>
      <c r="E925" s="166" t="str">
        <f t="shared" si="39"/>
        <v/>
      </c>
      <c r="F925" s="166" t="str">
        <f>IF($A925&gt;MIN($A$10,$A$2),"",IF($A925&lt;50,"n.a.",IF(COUNT(INDEX(StockDaily[Adjusted close],MAX(1,$A925-50+1)):E925)=50,AVERAGE(INDEX(StockDaily[Adjusted close],MAX(1,$A925-50+1)):E925),"n.a.")))</f>
        <v/>
      </c>
      <c r="G925" s="166" t="str">
        <f>IF($A925&gt;MIN($A$10,$A$2),"",IF($A925&lt;200,"n.a.",IF(COUNT(INDEX(StockDaily[Adjusted close],MAX(1,$A925-200+1)):E925)=200,AVERAGE(INDEX(StockDaily[Adjusted close],MAX(1,$A925-200+1)):E925),"n.a.")))</f>
        <v/>
      </c>
      <c r="H925" s="136" t="str">
        <f>IF($A925&gt;MIN($A$10,$A$2),"",IF($A$5="","Choose stock",IF(NOT($A$12),"Check split rule",IF(NOT(ISNUMBER(B925)),"Invalid date",IF(OR(B925&lt;=0,B925&lt;&gt;INT(B925)),"Invalid date",IF(COUNTIFS(DemoHistory[Date],B925)&lt;&gt;1,"Duplicate date",IF(AND($A925&gt;1,B925&lt;=B924),"Dates out of order",IF(NOT(ISNUMBER(C925)),"Missing price",IF(C925&lt;=0,"Nonpositive price","OK")))))))))</f>
        <v/>
      </c>
      <c r="I925" s="136"/>
      <c r="J925" s="136"/>
      <c r="K925" s="136"/>
      <c r="L925" s="136"/>
      <c r="M925" s="136"/>
      <c r="N925" s="136" t="e">
        <f t="shared" si="40"/>
        <v>#N/A</v>
      </c>
      <c r="O925" s="136" t="e">
        <f t="shared" si="41"/>
        <v>#N/A</v>
      </c>
    </row>
    <row r="926" spans="1:15" ht="22.05" customHeight="1" x14ac:dyDescent="0.3">
      <c r="A926" s="136">
        <v>882</v>
      </c>
      <c r="B926" s="165" t="str">
        <f>IF($A926&gt;MIN($A$10,$A$2),"",INDEX(DemoHistory[Date],$A926))</f>
        <v/>
      </c>
      <c r="C926" s="166" t="str">
        <f>IF(OR($A926&gt;MIN($A$10,$A$2),$A$5=""),"",INDEX(DemoHistory[],$A926,MATCH($A$5,DemoHistory[#Headers],0)))</f>
        <v/>
      </c>
      <c r="D926" s="166" t="str">
        <f>IF($A926&gt;MIN($A$10,$A$2),"",IF(AND($A$12,$A$6=1,B926&lt;$A$7,$A$7&lt;=MAX(DemoHistory[Date])),$A$8,1))</f>
        <v/>
      </c>
      <c r="E926" s="166" t="str">
        <f t="shared" si="39"/>
        <v/>
      </c>
      <c r="F926" s="166" t="str">
        <f>IF($A926&gt;MIN($A$10,$A$2),"",IF($A926&lt;50,"n.a.",IF(COUNT(INDEX(StockDaily[Adjusted close],MAX(1,$A926-50+1)):E926)=50,AVERAGE(INDEX(StockDaily[Adjusted close],MAX(1,$A926-50+1)):E926),"n.a.")))</f>
        <v/>
      </c>
      <c r="G926" s="166" t="str">
        <f>IF($A926&gt;MIN($A$10,$A$2),"",IF($A926&lt;200,"n.a.",IF(COUNT(INDEX(StockDaily[Adjusted close],MAX(1,$A926-200+1)):E926)=200,AVERAGE(INDEX(StockDaily[Adjusted close],MAX(1,$A926-200+1)):E926),"n.a.")))</f>
        <v/>
      </c>
      <c r="H926" s="136" t="str">
        <f>IF($A926&gt;MIN($A$10,$A$2),"",IF($A$5="","Choose stock",IF(NOT($A$12),"Check split rule",IF(NOT(ISNUMBER(B926)),"Invalid date",IF(OR(B926&lt;=0,B926&lt;&gt;INT(B926)),"Invalid date",IF(COUNTIFS(DemoHistory[Date],B926)&lt;&gt;1,"Duplicate date",IF(AND($A926&gt;1,B926&lt;=B925),"Dates out of order",IF(NOT(ISNUMBER(C926)),"Missing price",IF(C926&lt;=0,"Nonpositive price","OK")))))))))</f>
        <v/>
      </c>
      <c r="I926" s="136"/>
      <c r="J926" s="136"/>
      <c r="K926" s="136"/>
      <c r="L926" s="136"/>
      <c r="M926" s="136"/>
      <c r="N926" s="136" t="e">
        <f t="shared" si="40"/>
        <v>#N/A</v>
      </c>
      <c r="O926" s="136" t="e">
        <f t="shared" si="41"/>
        <v>#N/A</v>
      </c>
    </row>
    <row r="927" spans="1:15" ht="22.05" customHeight="1" x14ac:dyDescent="0.3">
      <c r="A927" s="136">
        <v>883</v>
      </c>
      <c r="B927" s="165" t="str">
        <f>IF($A927&gt;MIN($A$10,$A$2),"",INDEX(DemoHistory[Date],$A927))</f>
        <v/>
      </c>
      <c r="C927" s="166" t="str">
        <f>IF(OR($A927&gt;MIN($A$10,$A$2),$A$5=""),"",INDEX(DemoHistory[],$A927,MATCH($A$5,DemoHistory[#Headers],0)))</f>
        <v/>
      </c>
      <c r="D927" s="166" t="str">
        <f>IF($A927&gt;MIN($A$10,$A$2),"",IF(AND($A$12,$A$6=1,B927&lt;$A$7,$A$7&lt;=MAX(DemoHistory[Date])),$A$8,1))</f>
        <v/>
      </c>
      <c r="E927" s="166" t="str">
        <f t="shared" si="39"/>
        <v/>
      </c>
      <c r="F927" s="166" t="str">
        <f>IF($A927&gt;MIN($A$10,$A$2),"",IF($A927&lt;50,"n.a.",IF(COUNT(INDEX(StockDaily[Adjusted close],MAX(1,$A927-50+1)):E927)=50,AVERAGE(INDEX(StockDaily[Adjusted close],MAX(1,$A927-50+1)):E927),"n.a.")))</f>
        <v/>
      </c>
      <c r="G927" s="166" t="str">
        <f>IF($A927&gt;MIN($A$10,$A$2),"",IF($A927&lt;200,"n.a.",IF(COUNT(INDEX(StockDaily[Adjusted close],MAX(1,$A927-200+1)):E927)=200,AVERAGE(INDEX(StockDaily[Adjusted close],MAX(1,$A927-200+1)):E927),"n.a.")))</f>
        <v/>
      </c>
      <c r="H927" s="136" t="str">
        <f>IF($A927&gt;MIN($A$10,$A$2),"",IF($A$5="","Choose stock",IF(NOT($A$12),"Check split rule",IF(NOT(ISNUMBER(B927)),"Invalid date",IF(OR(B927&lt;=0,B927&lt;&gt;INT(B927)),"Invalid date",IF(COUNTIFS(DemoHistory[Date],B927)&lt;&gt;1,"Duplicate date",IF(AND($A927&gt;1,B927&lt;=B926),"Dates out of order",IF(NOT(ISNUMBER(C927)),"Missing price",IF(C927&lt;=0,"Nonpositive price","OK")))))))))</f>
        <v/>
      </c>
      <c r="I927" s="136"/>
      <c r="J927" s="136"/>
      <c r="K927" s="136"/>
      <c r="L927" s="136"/>
      <c r="M927" s="136"/>
      <c r="N927" s="136" t="e">
        <f t="shared" si="40"/>
        <v>#N/A</v>
      </c>
      <c r="O927" s="136" t="e">
        <f t="shared" si="41"/>
        <v>#N/A</v>
      </c>
    </row>
    <row r="928" spans="1:15" ht="22.05" customHeight="1" x14ac:dyDescent="0.3">
      <c r="A928" s="136">
        <v>884</v>
      </c>
      <c r="B928" s="165" t="str">
        <f>IF($A928&gt;MIN($A$10,$A$2),"",INDEX(DemoHistory[Date],$A928))</f>
        <v/>
      </c>
      <c r="C928" s="166" t="str">
        <f>IF(OR($A928&gt;MIN($A$10,$A$2),$A$5=""),"",INDEX(DemoHistory[],$A928,MATCH($A$5,DemoHistory[#Headers],0)))</f>
        <v/>
      </c>
      <c r="D928" s="166" t="str">
        <f>IF($A928&gt;MIN($A$10,$A$2),"",IF(AND($A$12,$A$6=1,B928&lt;$A$7,$A$7&lt;=MAX(DemoHistory[Date])),$A$8,1))</f>
        <v/>
      </c>
      <c r="E928" s="166" t="str">
        <f t="shared" si="39"/>
        <v/>
      </c>
      <c r="F928" s="166" t="str">
        <f>IF($A928&gt;MIN($A$10,$A$2),"",IF($A928&lt;50,"n.a.",IF(COUNT(INDEX(StockDaily[Adjusted close],MAX(1,$A928-50+1)):E928)=50,AVERAGE(INDEX(StockDaily[Adjusted close],MAX(1,$A928-50+1)):E928),"n.a.")))</f>
        <v/>
      </c>
      <c r="G928" s="166" t="str">
        <f>IF($A928&gt;MIN($A$10,$A$2),"",IF($A928&lt;200,"n.a.",IF(COUNT(INDEX(StockDaily[Adjusted close],MAX(1,$A928-200+1)):E928)=200,AVERAGE(INDEX(StockDaily[Adjusted close],MAX(1,$A928-200+1)):E928),"n.a.")))</f>
        <v/>
      </c>
      <c r="H928" s="136" t="str">
        <f>IF($A928&gt;MIN($A$10,$A$2),"",IF($A$5="","Choose stock",IF(NOT($A$12),"Check split rule",IF(NOT(ISNUMBER(B928)),"Invalid date",IF(OR(B928&lt;=0,B928&lt;&gt;INT(B928)),"Invalid date",IF(COUNTIFS(DemoHistory[Date],B928)&lt;&gt;1,"Duplicate date",IF(AND($A928&gt;1,B928&lt;=B927),"Dates out of order",IF(NOT(ISNUMBER(C928)),"Missing price",IF(C928&lt;=0,"Nonpositive price","OK")))))))))</f>
        <v/>
      </c>
      <c r="I928" s="136"/>
      <c r="J928" s="136"/>
      <c r="K928" s="136"/>
      <c r="L928" s="136"/>
      <c r="M928" s="136"/>
      <c r="N928" s="136" t="e">
        <f t="shared" si="40"/>
        <v>#N/A</v>
      </c>
      <c r="O928" s="136" t="e">
        <f t="shared" si="41"/>
        <v>#N/A</v>
      </c>
    </row>
    <row r="929" spans="1:15" ht="22.05" customHeight="1" x14ac:dyDescent="0.3">
      <c r="A929" s="136">
        <v>885</v>
      </c>
      <c r="B929" s="165" t="str">
        <f>IF($A929&gt;MIN($A$10,$A$2),"",INDEX(DemoHistory[Date],$A929))</f>
        <v/>
      </c>
      <c r="C929" s="166" t="str">
        <f>IF(OR($A929&gt;MIN($A$10,$A$2),$A$5=""),"",INDEX(DemoHistory[],$A929,MATCH($A$5,DemoHistory[#Headers],0)))</f>
        <v/>
      </c>
      <c r="D929" s="166" t="str">
        <f>IF($A929&gt;MIN($A$10,$A$2),"",IF(AND($A$12,$A$6=1,B929&lt;$A$7,$A$7&lt;=MAX(DemoHistory[Date])),$A$8,1))</f>
        <v/>
      </c>
      <c r="E929" s="166" t="str">
        <f t="shared" si="39"/>
        <v/>
      </c>
      <c r="F929" s="166" t="str">
        <f>IF($A929&gt;MIN($A$10,$A$2),"",IF($A929&lt;50,"n.a.",IF(COUNT(INDEX(StockDaily[Adjusted close],MAX(1,$A929-50+1)):E929)=50,AVERAGE(INDEX(StockDaily[Adjusted close],MAX(1,$A929-50+1)):E929),"n.a.")))</f>
        <v/>
      </c>
      <c r="G929" s="166" t="str">
        <f>IF($A929&gt;MIN($A$10,$A$2),"",IF($A929&lt;200,"n.a.",IF(COUNT(INDEX(StockDaily[Adjusted close],MAX(1,$A929-200+1)):E929)=200,AVERAGE(INDEX(StockDaily[Adjusted close],MAX(1,$A929-200+1)):E929),"n.a.")))</f>
        <v/>
      </c>
      <c r="H929" s="136" t="str">
        <f>IF($A929&gt;MIN($A$10,$A$2),"",IF($A$5="","Choose stock",IF(NOT($A$12),"Check split rule",IF(NOT(ISNUMBER(B929)),"Invalid date",IF(OR(B929&lt;=0,B929&lt;&gt;INT(B929)),"Invalid date",IF(COUNTIFS(DemoHistory[Date],B929)&lt;&gt;1,"Duplicate date",IF(AND($A929&gt;1,B929&lt;=B928),"Dates out of order",IF(NOT(ISNUMBER(C929)),"Missing price",IF(C929&lt;=0,"Nonpositive price","OK")))))))))</f>
        <v/>
      </c>
      <c r="I929" s="136"/>
      <c r="J929" s="136"/>
      <c r="K929" s="136"/>
      <c r="L929" s="136"/>
      <c r="M929" s="136"/>
      <c r="N929" s="136" t="e">
        <f t="shared" si="40"/>
        <v>#N/A</v>
      </c>
      <c r="O929" s="136" t="e">
        <f t="shared" si="41"/>
        <v>#N/A</v>
      </c>
    </row>
    <row r="930" spans="1:15" ht="22.05" customHeight="1" x14ac:dyDescent="0.3">
      <c r="A930" s="136">
        <v>886</v>
      </c>
      <c r="B930" s="165" t="str">
        <f>IF($A930&gt;MIN($A$10,$A$2),"",INDEX(DemoHistory[Date],$A930))</f>
        <v/>
      </c>
      <c r="C930" s="166" t="str">
        <f>IF(OR($A930&gt;MIN($A$10,$A$2),$A$5=""),"",INDEX(DemoHistory[],$A930,MATCH($A$5,DemoHistory[#Headers],0)))</f>
        <v/>
      </c>
      <c r="D930" s="166" t="str">
        <f>IF($A930&gt;MIN($A$10,$A$2),"",IF(AND($A$12,$A$6=1,B930&lt;$A$7,$A$7&lt;=MAX(DemoHistory[Date])),$A$8,1))</f>
        <v/>
      </c>
      <c r="E930" s="166" t="str">
        <f t="shared" si="39"/>
        <v/>
      </c>
      <c r="F930" s="166" t="str">
        <f>IF($A930&gt;MIN($A$10,$A$2),"",IF($A930&lt;50,"n.a.",IF(COUNT(INDEX(StockDaily[Adjusted close],MAX(1,$A930-50+1)):E930)=50,AVERAGE(INDEX(StockDaily[Adjusted close],MAX(1,$A930-50+1)):E930),"n.a.")))</f>
        <v/>
      </c>
      <c r="G930" s="166" t="str">
        <f>IF($A930&gt;MIN($A$10,$A$2),"",IF($A930&lt;200,"n.a.",IF(COUNT(INDEX(StockDaily[Adjusted close],MAX(1,$A930-200+1)):E930)=200,AVERAGE(INDEX(StockDaily[Adjusted close],MAX(1,$A930-200+1)):E930),"n.a.")))</f>
        <v/>
      </c>
      <c r="H930" s="136" t="str">
        <f>IF($A930&gt;MIN($A$10,$A$2),"",IF($A$5="","Choose stock",IF(NOT($A$12),"Check split rule",IF(NOT(ISNUMBER(B930)),"Invalid date",IF(OR(B930&lt;=0,B930&lt;&gt;INT(B930)),"Invalid date",IF(COUNTIFS(DemoHistory[Date],B930)&lt;&gt;1,"Duplicate date",IF(AND($A930&gt;1,B930&lt;=B929),"Dates out of order",IF(NOT(ISNUMBER(C930)),"Missing price",IF(C930&lt;=0,"Nonpositive price","OK")))))))))</f>
        <v/>
      </c>
      <c r="I930" s="136"/>
      <c r="J930" s="136"/>
      <c r="K930" s="136"/>
      <c r="L930" s="136"/>
      <c r="M930" s="136"/>
      <c r="N930" s="136" t="e">
        <f t="shared" si="40"/>
        <v>#N/A</v>
      </c>
      <c r="O930" s="136" t="e">
        <f t="shared" si="41"/>
        <v>#N/A</v>
      </c>
    </row>
    <row r="931" spans="1:15" ht="22.05" customHeight="1" x14ac:dyDescent="0.3">
      <c r="A931" s="136">
        <v>887</v>
      </c>
      <c r="B931" s="165" t="str">
        <f>IF($A931&gt;MIN($A$10,$A$2),"",INDEX(DemoHistory[Date],$A931))</f>
        <v/>
      </c>
      <c r="C931" s="166" t="str">
        <f>IF(OR($A931&gt;MIN($A$10,$A$2),$A$5=""),"",INDEX(DemoHistory[],$A931,MATCH($A$5,DemoHistory[#Headers],0)))</f>
        <v/>
      </c>
      <c r="D931" s="166" t="str">
        <f>IF($A931&gt;MIN($A$10,$A$2),"",IF(AND($A$12,$A$6=1,B931&lt;$A$7,$A$7&lt;=MAX(DemoHistory[Date])),$A$8,1))</f>
        <v/>
      </c>
      <c r="E931" s="166" t="str">
        <f t="shared" si="39"/>
        <v/>
      </c>
      <c r="F931" s="166" t="str">
        <f>IF($A931&gt;MIN($A$10,$A$2),"",IF($A931&lt;50,"n.a.",IF(COUNT(INDEX(StockDaily[Adjusted close],MAX(1,$A931-50+1)):E931)=50,AVERAGE(INDEX(StockDaily[Adjusted close],MAX(1,$A931-50+1)):E931),"n.a.")))</f>
        <v/>
      </c>
      <c r="G931" s="166" t="str">
        <f>IF($A931&gt;MIN($A$10,$A$2),"",IF($A931&lt;200,"n.a.",IF(COUNT(INDEX(StockDaily[Adjusted close],MAX(1,$A931-200+1)):E931)=200,AVERAGE(INDEX(StockDaily[Adjusted close],MAX(1,$A931-200+1)):E931),"n.a.")))</f>
        <v/>
      </c>
      <c r="H931" s="136" t="str">
        <f>IF($A931&gt;MIN($A$10,$A$2),"",IF($A$5="","Choose stock",IF(NOT($A$12),"Check split rule",IF(NOT(ISNUMBER(B931)),"Invalid date",IF(OR(B931&lt;=0,B931&lt;&gt;INT(B931)),"Invalid date",IF(COUNTIFS(DemoHistory[Date],B931)&lt;&gt;1,"Duplicate date",IF(AND($A931&gt;1,B931&lt;=B930),"Dates out of order",IF(NOT(ISNUMBER(C931)),"Missing price",IF(C931&lt;=0,"Nonpositive price","OK")))))))))</f>
        <v/>
      </c>
      <c r="I931" s="136"/>
      <c r="J931" s="136"/>
      <c r="K931" s="136"/>
      <c r="L931" s="136"/>
      <c r="M931" s="136"/>
      <c r="N931" s="136" t="e">
        <f t="shared" si="40"/>
        <v>#N/A</v>
      </c>
      <c r="O931" s="136" t="e">
        <f t="shared" si="41"/>
        <v>#N/A</v>
      </c>
    </row>
    <row r="932" spans="1:15" ht="22.05" customHeight="1" x14ac:dyDescent="0.3">
      <c r="A932" s="136">
        <v>888</v>
      </c>
      <c r="B932" s="165" t="str">
        <f>IF($A932&gt;MIN($A$10,$A$2),"",INDEX(DemoHistory[Date],$A932))</f>
        <v/>
      </c>
      <c r="C932" s="166" t="str">
        <f>IF(OR($A932&gt;MIN($A$10,$A$2),$A$5=""),"",INDEX(DemoHistory[],$A932,MATCH($A$5,DemoHistory[#Headers],0)))</f>
        <v/>
      </c>
      <c r="D932" s="166" t="str">
        <f>IF($A932&gt;MIN($A$10,$A$2),"",IF(AND($A$12,$A$6=1,B932&lt;$A$7,$A$7&lt;=MAX(DemoHistory[Date])),$A$8,1))</f>
        <v/>
      </c>
      <c r="E932" s="166" t="str">
        <f t="shared" si="39"/>
        <v/>
      </c>
      <c r="F932" s="166" t="str">
        <f>IF($A932&gt;MIN($A$10,$A$2),"",IF($A932&lt;50,"n.a.",IF(COUNT(INDEX(StockDaily[Adjusted close],MAX(1,$A932-50+1)):E932)=50,AVERAGE(INDEX(StockDaily[Adjusted close],MAX(1,$A932-50+1)):E932),"n.a.")))</f>
        <v/>
      </c>
      <c r="G932" s="166" t="str">
        <f>IF($A932&gt;MIN($A$10,$A$2),"",IF($A932&lt;200,"n.a.",IF(COUNT(INDEX(StockDaily[Adjusted close],MAX(1,$A932-200+1)):E932)=200,AVERAGE(INDEX(StockDaily[Adjusted close],MAX(1,$A932-200+1)):E932),"n.a.")))</f>
        <v/>
      </c>
      <c r="H932" s="136" t="str">
        <f>IF($A932&gt;MIN($A$10,$A$2),"",IF($A$5="","Choose stock",IF(NOT($A$12),"Check split rule",IF(NOT(ISNUMBER(B932)),"Invalid date",IF(OR(B932&lt;=0,B932&lt;&gt;INT(B932)),"Invalid date",IF(COUNTIFS(DemoHistory[Date],B932)&lt;&gt;1,"Duplicate date",IF(AND($A932&gt;1,B932&lt;=B931),"Dates out of order",IF(NOT(ISNUMBER(C932)),"Missing price",IF(C932&lt;=0,"Nonpositive price","OK")))))))))</f>
        <v/>
      </c>
      <c r="I932" s="136"/>
      <c r="J932" s="136"/>
      <c r="K932" s="136"/>
      <c r="L932" s="136"/>
      <c r="M932" s="136"/>
      <c r="N932" s="136" t="e">
        <f t="shared" si="40"/>
        <v>#N/A</v>
      </c>
      <c r="O932" s="136" t="e">
        <f t="shared" si="41"/>
        <v>#N/A</v>
      </c>
    </row>
    <row r="933" spans="1:15" ht="22.05" customHeight="1" x14ac:dyDescent="0.3">
      <c r="A933" s="136">
        <v>889</v>
      </c>
      <c r="B933" s="165" t="str">
        <f>IF($A933&gt;MIN($A$10,$A$2),"",INDEX(DemoHistory[Date],$A933))</f>
        <v/>
      </c>
      <c r="C933" s="166" t="str">
        <f>IF(OR($A933&gt;MIN($A$10,$A$2),$A$5=""),"",INDEX(DemoHistory[],$A933,MATCH($A$5,DemoHistory[#Headers],0)))</f>
        <v/>
      </c>
      <c r="D933" s="166" t="str">
        <f>IF($A933&gt;MIN($A$10,$A$2),"",IF(AND($A$12,$A$6=1,B933&lt;$A$7,$A$7&lt;=MAX(DemoHistory[Date])),$A$8,1))</f>
        <v/>
      </c>
      <c r="E933" s="166" t="str">
        <f t="shared" si="39"/>
        <v/>
      </c>
      <c r="F933" s="166" t="str">
        <f>IF($A933&gt;MIN($A$10,$A$2),"",IF($A933&lt;50,"n.a.",IF(COUNT(INDEX(StockDaily[Adjusted close],MAX(1,$A933-50+1)):E933)=50,AVERAGE(INDEX(StockDaily[Adjusted close],MAX(1,$A933-50+1)):E933),"n.a.")))</f>
        <v/>
      </c>
      <c r="G933" s="166" t="str">
        <f>IF($A933&gt;MIN($A$10,$A$2),"",IF($A933&lt;200,"n.a.",IF(COUNT(INDEX(StockDaily[Adjusted close],MAX(1,$A933-200+1)):E933)=200,AVERAGE(INDEX(StockDaily[Adjusted close],MAX(1,$A933-200+1)):E933),"n.a.")))</f>
        <v/>
      </c>
      <c r="H933" s="136" t="str">
        <f>IF($A933&gt;MIN($A$10,$A$2),"",IF($A$5="","Choose stock",IF(NOT($A$12),"Check split rule",IF(NOT(ISNUMBER(B933)),"Invalid date",IF(OR(B933&lt;=0,B933&lt;&gt;INT(B933)),"Invalid date",IF(COUNTIFS(DemoHistory[Date],B933)&lt;&gt;1,"Duplicate date",IF(AND($A933&gt;1,B933&lt;=B932),"Dates out of order",IF(NOT(ISNUMBER(C933)),"Missing price",IF(C933&lt;=0,"Nonpositive price","OK")))))))))</f>
        <v/>
      </c>
      <c r="I933" s="136"/>
      <c r="J933" s="136"/>
      <c r="K933" s="136"/>
      <c r="L933" s="136"/>
      <c r="M933" s="136"/>
      <c r="N933" s="136" t="e">
        <f t="shared" si="40"/>
        <v>#N/A</v>
      </c>
      <c r="O933" s="136" t="e">
        <f t="shared" si="41"/>
        <v>#N/A</v>
      </c>
    </row>
    <row r="934" spans="1:15" ht="22.05" customHeight="1" x14ac:dyDescent="0.3">
      <c r="A934" s="136">
        <v>890</v>
      </c>
      <c r="B934" s="165" t="str">
        <f>IF($A934&gt;MIN($A$10,$A$2),"",INDEX(DemoHistory[Date],$A934))</f>
        <v/>
      </c>
      <c r="C934" s="166" t="str">
        <f>IF(OR($A934&gt;MIN($A$10,$A$2),$A$5=""),"",INDEX(DemoHistory[],$A934,MATCH($A$5,DemoHistory[#Headers],0)))</f>
        <v/>
      </c>
      <c r="D934" s="166" t="str">
        <f>IF($A934&gt;MIN($A$10,$A$2),"",IF(AND($A$12,$A$6=1,B934&lt;$A$7,$A$7&lt;=MAX(DemoHistory[Date])),$A$8,1))</f>
        <v/>
      </c>
      <c r="E934" s="166" t="str">
        <f t="shared" si="39"/>
        <v/>
      </c>
      <c r="F934" s="166" t="str">
        <f>IF($A934&gt;MIN($A$10,$A$2),"",IF($A934&lt;50,"n.a.",IF(COUNT(INDEX(StockDaily[Adjusted close],MAX(1,$A934-50+1)):E934)=50,AVERAGE(INDEX(StockDaily[Adjusted close],MAX(1,$A934-50+1)):E934),"n.a.")))</f>
        <v/>
      </c>
      <c r="G934" s="166" t="str">
        <f>IF($A934&gt;MIN($A$10,$A$2),"",IF($A934&lt;200,"n.a.",IF(COUNT(INDEX(StockDaily[Adjusted close],MAX(1,$A934-200+1)):E934)=200,AVERAGE(INDEX(StockDaily[Adjusted close],MAX(1,$A934-200+1)):E934),"n.a.")))</f>
        <v/>
      </c>
      <c r="H934" s="136" t="str">
        <f>IF($A934&gt;MIN($A$10,$A$2),"",IF($A$5="","Choose stock",IF(NOT($A$12),"Check split rule",IF(NOT(ISNUMBER(B934)),"Invalid date",IF(OR(B934&lt;=0,B934&lt;&gt;INT(B934)),"Invalid date",IF(COUNTIFS(DemoHistory[Date],B934)&lt;&gt;1,"Duplicate date",IF(AND($A934&gt;1,B934&lt;=B933),"Dates out of order",IF(NOT(ISNUMBER(C934)),"Missing price",IF(C934&lt;=0,"Nonpositive price","OK")))))))))</f>
        <v/>
      </c>
      <c r="I934" s="136"/>
      <c r="J934" s="136"/>
      <c r="K934" s="136"/>
      <c r="L934" s="136"/>
      <c r="M934" s="136"/>
      <c r="N934" s="136" t="e">
        <f t="shared" si="40"/>
        <v>#N/A</v>
      </c>
      <c r="O934" s="136" t="e">
        <f t="shared" si="41"/>
        <v>#N/A</v>
      </c>
    </row>
    <row r="935" spans="1:15" ht="22.05" customHeight="1" x14ac:dyDescent="0.3">
      <c r="A935" s="136">
        <v>891</v>
      </c>
      <c r="B935" s="165" t="str">
        <f>IF($A935&gt;MIN($A$10,$A$2),"",INDEX(DemoHistory[Date],$A935))</f>
        <v/>
      </c>
      <c r="C935" s="166" t="str">
        <f>IF(OR($A935&gt;MIN($A$10,$A$2),$A$5=""),"",INDEX(DemoHistory[],$A935,MATCH($A$5,DemoHistory[#Headers],0)))</f>
        <v/>
      </c>
      <c r="D935" s="166" t="str">
        <f>IF($A935&gt;MIN($A$10,$A$2),"",IF(AND($A$12,$A$6=1,B935&lt;$A$7,$A$7&lt;=MAX(DemoHistory[Date])),$A$8,1))</f>
        <v/>
      </c>
      <c r="E935" s="166" t="str">
        <f t="shared" si="39"/>
        <v/>
      </c>
      <c r="F935" s="166" t="str">
        <f>IF($A935&gt;MIN($A$10,$A$2),"",IF($A935&lt;50,"n.a.",IF(COUNT(INDEX(StockDaily[Adjusted close],MAX(1,$A935-50+1)):E935)=50,AVERAGE(INDEX(StockDaily[Adjusted close],MAX(1,$A935-50+1)):E935),"n.a.")))</f>
        <v/>
      </c>
      <c r="G935" s="166" t="str">
        <f>IF($A935&gt;MIN($A$10,$A$2),"",IF($A935&lt;200,"n.a.",IF(COUNT(INDEX(StockDaily[Adjusted close],MAX(1,$A935-200+1)):E935)=200,AVERAGE(INDEX(StockDaily[Adjusted close],MAX(1,$A935-200+1)):E935),"n.a.")))</f>
        <v/>
      </c>
      <c r="H935" s="136" t="str">
        <f>IF($A935&gt;MIN($A$10,$A$2),"",IF($A$5="","Choose stock",IF(NOT($A$12),"Check split rule",IF(NOT(ISNUMBER(B935)),"Invalid date",IF(OR(B935&lt;=0,B935&lt;&gt;INT(B935)),"Invalid date",IF(COUNTIFS(DemoHistory[Date],B935)&lt;&gt;1,"Duplicate date",IF(AND($A935&gt;1,B935&lt;=B934),"Dates out of order",IF(NOT(ISNUMBER(C935)),"Missing price",IF(C935&lt;=0,"Nonpositive price","OK")))))))))</f>
        <v/>
      </c>
      <c r="I935" s="136"/>
      <c r="J935" s="136"/>
      <c r="K935" s="136"/>
      <c r="L935" s="136"/>
      <c r="M935" s="136"/>
      <c r="N935" s="136" t="e">
        <f t="shared" si="40"/>
        <v>#N/A</v>
      </c>
      <c r="O935" s="136" t="e">
        <f t="shared" si="41"/>
        <v>#N/A</v>
      </c>
    </row>
    <row r="936" spans="1:15" ht="22.05" customHeight="1" x14ac:dyDescent="0.3">
      <c r="A936" s="136">
        <v>892</v>
      </c>
      <c r="B936" s="165" t="str">
        <f>IF($A936&gt;MIN($A$10,$A$2),"",INDEX(DemoHistory[Date],$A936))</f>
        <v/>
      </c>
      <c r="C936" s="166" t="str">
        <f>IF(OR($A936&gt;MIN($A$10,$A$2),$A$5=""),"",INDEX(DemoHistory[],$A936,MATCH($A$5,DemoHistory[#Headers],0)))</f>
        <v/>
      </c>
      <c r="D936" s="166" t="str">
        <f>IF($A936&gt;MIN($A$10,$A$2),"",IF(AND($A$12,$A$6=1,B936&lt;$A$7,$A$7&lt;=MAX(DemoHistory[Date])),$A$8,1))</f>
        <v/>
      </c>
      <c r="E936" s="166" t="str">
        <f t="shared" si="39"/>
        <v/>
      </c>
      <c r="F936" s="166" t="str">
        <f>IF($A936&gt;MIN($A$10,$A$2),"",IF($A936&lt;50,"n.a.",IF(COUNT(INDEX(StockDaily[Adjusted close],MAX(1,$A936-50+1)):E936)=50,AVERAGE(INDEX(StockDaily[Adjusted close],MAX(1,$A936-50+1)):E936),"n.a.")))</f>
        <v/>
      </c>
      <c r="G936" s="166" t="str">
        <f>IF($A936&gt;MIN($A$10,$A$2),"",IF($A936&lt;200,"n.a.",IF(COUNT(INDEX(StockDaily[Adjusted close],MAX(1,$A936-200+1)):E936)=200,AVERAGE(INDEX(StockDaily[Adjusted close],MAX(1,$A936-200+1)):E936),"n.a.")))</f>
        <v/>
      </c>
      <c r="H936" s="136" t="str">
        <f>IF($A936&gt;MIN($A$10,$A$2),"",IF($A$5="","Choose stock",IF(NOT($A$12),"Check split rule",IF(NOT(ISNUMBER(B936)),"Invalid date",IF(OR(B936&lt;=0,B936&lt;&gt;INT(B936)),"Invalid date",IF(COUNTIFS(DemoHistory[Date],B936)&lt;&gt;1,"Duplicate date",IF(AND($A936&gt;1,B936&lt;=B935),"Dates out of order",IF(NOT(ISNUMBER(C936)),"Missing price",IF(C936&lt;=0,"Nonpositive price","OK")))))))))</f>
        <v/>
      </c>
      <c r="I936" s="136"/>
      <c r="J936" s="136"/>
      <c r="K936" s="136"/>
      <c r="L936" s="136"/>
      <c r="M936" s="136"/>
      <c r="N936" s="136" t="e">
        <f t="shared" si="40"/>
        <v>#N/A</v>
      </c>
      <c r="O936" s="136" t="e">
        <f t="shared" si="41"/>
        <v>#N/A</v>
      </c>
    </row>
    <row r="937" spans="1:15" ht="22.05" customHeight="1" x14ac:dyDescent="0.3">
      <c r="A937" s="136">
        <v>893</v>
      </c>
      <c r="B937" s="165" t="str">
        <f>IF($A937&gt;MIN($A$10,$A$2),"",INDEX(DemoHistory[Date],$A937))</f>
        <v/>
      </c>
      <c r="C937" s="166" t="str">
        <f>IF(OR($A937&gt;MIN($A$10,$A$2),$A$5=""),"",INDEX(DemoHistory[],$A937,MATCH($A$5,DemoHistory[#Headers],0)))</f>
        <v/>
      </c>
      <c r="D937" s="166" t="str">
        <f>IF($A937&gt;MIN($A$10,$A$2),"",IF(AND($A$12,$A$6=1,B937&lt;$A$7,$A$7&lt;=MAX(DemoHistory[Date])),$A$8,1))</f>
        <v/>
      </c>
      <c r="E937" s="166" t="str">
        <f t="shared" si="39"/>
        <v/>
      </c>
      <c r="F937" s="166" t="str">
        <f>IF($A937&gt;MIN($A$10,$A$2),"",IF($A937&lt;50,"n.a.",IF(COUNT(INDEX(StockDaily[Adjusted close],MAX(1,$A937-50+1)):E937)=50,AVERAGE(INDEX(StockDaily[Adjusted close],MAX(1,$A937-50+1)):E937),"n.a.")))</f>
        <v/>
      </c>
      <c r="G937" s="166" t="str">
        <f>IF($A937&gt;MIN($A$10,$A$2),"",IF($A937&lt;200,"n.a.",IF(COUNT(INDEX(StockDaily[Adjusted close],MAX(1,$A937-200+1)):E937)=200,AVERAGE(INDEX(StockDaily[Adjusted close],MAX(1,$A937-200+1)):E937),"n.a.")))</f>
        <v/>
      </c>
      <c r="H937" s="136" t="str">
        <f>IF($A937&gt;MIN($A$10,$A$2),"",IF($A$5="","Choose stock",IF(NOT($A$12),"Check split rule",IF(NOT(ISNUMBER(B937)),"Invalid date",IF(OR(B937&lt;=0,B937&lt;&gt;INT(B937)),"Invalid date",IF(COUNTIFS(DemoHistory[Date],B937)&lt;&gt;1,"Duplicate date",IF(AND($A937&gt;1,B937&lt;=B936),"Dates out of order",IF(NOT(ISNUMBER(C937)),"Missing price",IF(C937&lt;=0,"Nonpositive price","OK")))))))))</f>
        <v/>
      </c>
      <c r="I937" s="136"/>
      <c r="J937" s="136"/>
      <c r="K937" s="136"/>
      <c r="L937" s="136"/>
      <c r="M937" s="136"/>
      <c r="N937" s="136" t="e">
        <f t="shared" si="40"/>
        <v>#N/A</v>
      </c>
      <c r="O937" s="136" t="e">
        <f t="shared" si="41"/>
        <v>#N/A</v>
      </c>
    </row>
    <row r="938" spans="1:15" ht="22.05" customHeight="1" x14ac:dyDescent="0.3">
      <c r="A938" s="136">
        <v>894</v>
      </c>
      <c r="B938" s="165" t="str">
        <f>IF($A938&gt;MIN($A$10,$A$2),"",INDEX(DemoHistory[Date],$A938))</f>
        <v/>
      </c>
      <c r="C938" s="166" t="str">
        <f>IF(OR($A938&gt;MIN($A$10,$A$2),$A$5=""),"",INDEX(DemoHistory[],$A938,MATCH($A$5,DemoHistory[#Headers],0)))</f>
        <v/>
      </c>
      <c r="D938" s="166" t="str">
        <f>IF($A938&gt;MIN($A$10,$A$2),"",IF(AND($A$12,$A$6=1,B938&lt;$A$7,$A$7&lt;=MAX(DemoHistory[Date])),$A$8,1))</f>
        <v/>
      </c>
      <c r="E938" s="166" t="str">
        <f t="shared" si="39"/>
        <v/>
      </c>
      <c r="F938" s="166" t="str">
        <f>IF($A938&gt;MIN($A$10,$A$2),"",IF($A938&lt;50,"n.a.",IF(COUNT(INDEX(StockDaily[Adjusted close],MAX(1,$A938-50+1)):E938)=50,AVERAGE(INDEX(StockDaily[Adjusted close],MAX(1,$A938-50+1)):E938),"n.a.")))</f>
        <v/>
      </c>
      <c r="G938" s="166" t="str">
        <f>IF($A938&gt;MIN($A$10,$A$2),"",IF($A938&lt;200,"n.a.",IF(COUNT(INDEX(StockDaily[Adjusted close],MAX(1,$A938-200+1)):E938)=200,AVERAGE(INDEX(StockDaily[Adjusted close],MAX(1,$A938-200+1)):E938),"n.a.")))</f>
        <v/>
      </c>
      <c r="H938" s="136" t="str">
        <f>IF($A938&gt;MIN($A$10,$A$2),"",IF($A$5="","Choose stock",IF(NOT($A$12),"Check split rule",IF(NOT(ISNUMBER(B938)),"Invalid date",IF(OR(B938&lt;=0,B938&lt;&gt;INT(B938)),"Invalid date",IF(COUNTIFS(DemoHistory[Date],B938)&lt;&gt;1,"Duplicate date",IF(AND($A938&gt;1,B938&lt;=B937),"Dates out of order",IF(NOT(ISNUMBER(C938)),"Missing price",IF(C938&lt;=0,"Nonpositive price","OK")))))))))</f>
        <v/>
      </c>
      <c r="I938" s="136"/>
      <c r="J938" s="136"/>
      <c r="K938" s="136"/>
      <c r="L938" s="136"/>
      <c r="M938" s="136"/>
      <c r="N938" s="136" t="e">
        <f t="shared" si="40"/>
        <v>#N/A</v>
      </c>
      <c r="O938" s="136" t="e">
        <f t="shared" si="41"/>
        <v>#N/A</v>
      </c>
    </row>
    <row r="939" spans="1:15" ht="22.05" customHeight="1" x14ac:dyDescent="0.3">
      <c r="A939" s="136">
        <v>895</v>
      </c>
      <c r="B939" s="165" t="str">
        <f>IF($A939&gt;MIN($A$10,$A$2),"",INDEX(DemoHistory[Date],$A939))</f>
        <v/>
      </c>
      <c r="C939" s="166" t="str">
        <f>IF(OR($A939&gt;MIN($A$10,$A$2),$A$5=""),"",INDEX(DemoHistory[],$A939,MATCH($A$5,DemoHistory[#Headers],0)))</f>
        <v/>
      </c>
      <c r="D939" s="166" t="str">
        <f>IF($A939&gt;MIN($A$10,$A$2),"",IF(AND($A$12,$A$6=1,B939&lt;$A$7,$A$7&lt;=MAX(DemoHistory[Date])),$A$8,1))</f>
        <v/>
      </c>
      <c r="E939" s="166" t="str">
        <f t="shared" si="39"/>
        <v/>
      </c>
      <c r="F939" s="166" t="str">
        <f>IF($A939&gt;MIN($A$10,$A$2),"",IF($A939&lt;50,"n.a.",IF(COUNT(INDEX(StockDaily[Adjusted close],MAX(1,$A939-50+1)):E939)=50,AVERAGE(INDEX(StockDaily[Adjusted close],MAX(1,$A939-50+1)):E939),"n.a.")))</f>
        <v/>
      </c>
      <c r="G939" s="166" t="str">
        <f>IF($A939&gt;MIN($A$10,$A$2),"",IF($A939&lt;200,"n.a.",IF(COUNT(INDEX(StockDaily[Adjusted close],MAX(1,$A939-200+1)):E939)=200,AVERAGE(INDEX(StockDaily[Adjusted close],MAX(1,$A939-200+1)):E939),"n.a.")))</f>
        <v/>
      </c>
      <c r="H939" s="136" t="str">
        <f>IF($A939&gt;MIN($A$10,$A$2),"",IF($A$5="","Choose stock",IF(NOT($A$12),"Check split rule",IF(NOT(ISNUMBER(B939)),"Invalid date",IF(OR(B939&lt;=0,B939&lt;&gt;INT(B939)),"Invalid date",IF(COUNTIFS(DemoHistory[Date],B939)&lt;&gt;1,"Duplicate date",IF(AND($A939&gt;1,B939&lt;=B938),"Dates out of order",IF(NOT(ISNUMBER(C939)),"Missing price",IF(C939&lt;=0,"Nonpositive price","OK")))))))))</f>
        <v/>
      </c>
      <c r="I939" s="136"/>
      <c r="J939" s="136"/>
      <c r="K939" s="136"/>
      <c r="L939" s="136"/>
      <c r="M939" s="136"/>
      <c r="N939" s="136" t="e">
        <f t="shared" si="40"/>
        <v>#N/A</v>
      </c>
      <c r="O939" s="136" t="e">
        <f t="shared" si="41"/>
        <v>#N/A</v>
      </c>
    </row>
    <row r="940" spans="1:15" ht="22.05" customHeight="1" x14ac:dyDescent="0.3">
      <c r="A940" s="136">
        <v>896</v>
      </c>
      <c r="B940" s="165" t="str">
        <f>IF($A940&gt;MIN($A$10,$A$2),"",INDEX(DemoHistory[Date],$A940))</f>
        <v/>
      </c>
      <c r="C940" s="166" t="str">
        <f>IF(OR($A940&gt;MIN($A$10,$A$2),$A$5=""),"",INDEX(DemoHistory[],$A940,MATCH($A$5,DemoHistory[#Headers],0)))</f>
        <v/>
      </c>
      <c r="D940" s="166" t="str">
        <f>IF($A940&gt;MIN($A$10,$A$2),"",IF(AND($A$12,$A$6=1,B940&lt;$A$7,$A$7&lt;=MAX(DemoHistory[Date])),$A$8,1))</f>
        <v/>
      </c>
      <c r="E940" s="166" t="str">
        <f t="shared" si="39"/>
        <v/>
      </c>
      <c r="F940" s="166" t="str">
        <f>IF($A940&gt;MIN($A$10,$A$2),"",IF($A940&lt;50,"n.a.",IF(COUNT(INDEX(StockDaily[Adjusted close],MAX(1,$A940-50+1)):E940)=50,AVERAGE(INDEX(StockDaily[Adjusted close],MAX(1,$A940-50+1)):E940),"n.a.")))</f>
        <v/>
      </c>
      <c r="G940" s="166" t="str">
        <f>IF($A940&gt;MIN($A$10,$A$2),"",IF($A940&lt;200,"n.a.",IF(COUNT(INDEX(StockDaily[Adjusted close],MAX(1,$A940-200+1)):E940)=200,AVERAGE(INDEX(StockDaily[Adjusted close],MAX(1,$A940-200+1)):E940),"n.a.")))</f>
        <v/>
      </c>
      <c r="H940" s="136" t="str">
        <f>IF($A940&gt;MIN($A$10,$A$2),"",IF($A$5="","Choose stock",IF(NOT($A$12),"Check split rule",IF(NOT(ISNUMBER(B940)),"Invalid date",IF(OR(B940&lt;=0,B940&lt;&gt;INT(B940)),"Invalid date",IF(COUNTIFS(DemoHistory[Date],B940)&lt;&gt;1,"Duplicate date",IF(AND($A940&gt;1,B940&lt;=B939),"Dates out of order",IF(NOT(ISNUMBER(C940)),"Missing price",IF(C940&lt;=0,"Nonpositive price","OK")))))))))</f>
        <v/>
      </c>
      <c r="I940" s="136"/>
      <c r="J940" s="136"/>
      <c r="K940" s="136"/>
      <c r="L940" s="136"/>
      <c r="M940" s="136"/>
      <c r="N940" s="136" t="e">
        <f t="shared" si="40"/>
        <v>#N/A</v>
      </c>
      <c r="O940" s="136" t="e">
        <f t="shared" si="41"/>
        <v>#N/A</v>
      </c>
    </row>
    <row r="941" spans="1:15" ht="22.05" customHeight="1" x14ac:dyDescent="0.3">
      <c r="A941" s="136">
        <v>897</v>
      </c>
      <c r="B941" s="165" t="str">
        <f>IF($A941&gt;MIN($A$10,$A$2),"",INDEX(DemoHistory[Date],$A941))</f>
        <v/>
      </c>
      <c r="C941" s="166" t="str">
        <f>IF(OR($A941&gt;MIN($A$10,$A$2),$A$5=""),"",INDEX(DemoHistory[],$A941,MATCH($A$5,DemoHistory[#Headers],0)))</f>
        <v/>
      </c>
      <c r="D941" s="166" t="str">
        <f>IF($A941&gt;MIN($A$10,$A$2),"",IF(AND($A$12,$A$6=1,B941&lt;$A$7,$A$7&lt;=MAX(DemoHistory[Date])),$A$8,1))</f>
        <v/>
      </c>
      <c r="E941" s="166" t="str">
        <f t="shared" ref="E941:E1004" si="42">IF($A941&gt;MIN($A$10,$A$2),"",IF(H941="OK",C941/D941,"n.a."))</f>
        <v/>
      </c>
      <c r="F941" s="166" t="str">
        <f>IF($A941&gt;MIN($A$10,$A$2),"",IF($A941&lt;50,"n.a.",IF(COUNT(INDEX(StockDaily[Adjusted close],MAX(1,$A941-50+1)):E941)=50,AVERAGE(INDEX(StockDaily[Adjusted close],MAX(1,$A941-50+1)):E941),"n.a.")))</f>
        <v/>
      </c>
      <c r="G941" s="166" t="str">
        <f>IF($A941&gt;MIN($A$10,$A$2),"",IF($A941&lt;200,"n.a.",IF(COUNT(INDEX(StockDaily[Adjusted close],MAX(1,$A941-200+1)):E941)=200,AVERAGE(INDEX(StockDaily[Adjusted close],MAX(1,$A941-200+1)):E941),"n.a.")))</f>
        <v/>
      </c>
      <c r="H941" s="136" t="str">
        <f>IF($A941&gt;MIN($A$10,$A$2),"",IF($A$5="","Choose stock",IF(NOT($A$12),"Check split rule",IF(NOT(ISNUMBER(B941)),"Invalid date",IF(OR(B941&lt;=0,B941&lt;&gt;INT(B941)),"Invalid date",IF(COUNTIFS(DemoHistory[Date],B941)&lt;&gt;1,"Duplicate date",IF(AND($A941&gt;1,B941&lt;=B940),"Dates out of order",IF(NOT(ISNUMBER(C941)),"Missing price",IF(C941&lt;=0,"Nonpositive price","OK")))))))))</f>
        <v/>
      </c>
      <c r="I941" s="136"/>
      <c r="J941" s="136"/>
      <c r="K941" s="136"/>
      <c r="L941" s="136"/>
      <c r="M941" s="136"/>
      <c r="N941" s="136" t="e">
        <f t="shared" ref="N941:N1004" si="43">IF(AND($A$13="Ready",ISNUMBER(E941)),E941,NA())</f>
        <v>#N/A</v>
      </c>
      <c r="O941" s="136" t="e">
        <f t="shared" ref="O941:O1004" si="44">IF(AND($A$13="Ready",ISNUMBER(F941)),F941,NA())</f>
        <v>#N/A</v>
      </c>
    </row>
    <row r="942" spans="1:15" ht="22.05" customHeight="1" x14ac:dyDescent="0.3">
      <c r="A942" s="136">
        <v>898</v>
      </c>
      <c r="B942" s="165" t="str">
        <f>IF($A942&gt;MIN($A$10,$A$2),"",INDEX(DemoHistory[Date],$A942))</f>
        <v/>
      </c>
      <c r="C942" s="166" t="str">
        <f>IF(OR($A942&gt;MIN($A$10,$A$2),$A$5=""),"",INDEX(DemoHistory[],$A942,MATCH($A$5,DemoHistory[#Headers],0)))</f>
        <v/>
      </c>
      <c r="D942" s="166" t="str">
        <f>IF($A942&gt;MIN($A$10,$A$2),"",IF(AND($A$12,$A$6=1,B942&lt;$A$7,$A$7&lt;=MAX(DemoHistory[Date])),$A$8,1))</f>
        <v/>
      </c>
      <c r="E942" s="166" t="str">
        <f t="shared" si="42"/>
        <v/>
      </c>
      <c r="F942" s="166" t="str">
        <f>IF($A942&gt;MIN($A$10,$A$2),"",IF($A942&lt;50,"n.a.",IF(COUNT(INDEX(StockDaily[Adjusted close],MAX(1,$A942-50+1)):E942)=50,AVERAGE(INDEX(StockDaily[Adjusted close],MAX(1,$A942-50+1)):E942),"n.a.")))</f>
        <v/>
      </c>
      <c r="G942" s="166" t="str">
        <f>IF($A942&gt;MIN($A$10,$A$2),"",IF($A942&lt;200,"n.a.",IF(COUNT(INDEX(StockDaily[Adjusted close],MAX(1,$A942-200+1)):E942)=200,AVERAGE(INDEX(StockDaily[Adjusted close],MAX(1,$A942-200+1)):E942),"n.a.")))</f>
        <v/>
      </c>
      <c r="H942" s="136" t="str">
        <f>IF($A942&gt;MIN($A$10,$A$2),"",IF($A$5="","Choose stock",IF(NOT($A$12),"Check split rule",IF(NOT(ISNUMBER(B942)),"Invalid date",IF(OR(B942&lt;=0,B942&lt;&gt;INT(B942)),"Invalid date",IF(COUNTIFS(DemoHistory[Date],B942)&lt;&gt;1,"Duplicate date",IF(AND($A942&gt;1,B942&lt;=B941),"Dates out of order",IF(NOT(ISNUMBER(C942)),"Missing price",IF(C942&lt;=0,"Nonpositive price","OK")))))))))</f>
        <v/>
      </c>
      <c r="I942" s="136"/>
      <c r="J942" s="136"/>
      <c r="K942" s="136"/>
      <c r="L942" s="136"/>
      <c r="M942" s="136"/>
      <c r="N942" s="136" t="e">
        <f t="shared" si="43"/>
        <v>#N/A</v>
      </c>
      <c r="O942" s="136" t="e">
        <f t="shared" si="44"/>
        <v>#N/A</v>
      </c>
    </row>
    <row r="943" spans="1:15" ht="22.05" customHeight="1" x14ac:dyDescent="0.3">
      <c r="A943" s="136">
        <v>899</v>
      </c>
      <c r="B943" s="165" t="str">
        <f>IF($A943&gt;MIN($A$10,$A$2),"",INDEX(DemoHistory[Date],$A943))</f>
        <v/>
      </c>
      <c r="C943" s="166" t="str">
        <f>IF(OR($A943&gt;MIN($A$10,$A$2),$A$5=""),"",INDEX(DemoHistory[],$A943,MATCH($A$5,DemoHistory[#Headers],0)))</f>
        <v/>
      </c>
      <c r="D943" s="166" t="str">
        <f>IF($A943&gt;MIN($A$10,$A$2),"",IF(AND($A$12,$A$6=1,B943&lt;$A$7,$A$7&lt;=MAX(DemoHistory[Date])),$A$8,1))</f>
        <v/>
      </c>
      <c r="E943" s="166" t="str">
        <f t="shared" si="42"/>
        <v/>
      </c>
      <c r="F943" s="166" t="str">
        <f>IF($A943&gt;MIN($A$10,$A$2),"",IF($A943&lt;50,"n.a.",IF(COUNT(INDEX(StockDaily[Adjusted close],MAX(1,$A943-50+1)):E943)=50,AVERAGE(INDEX(StockDaily[Adjusted close],MAX(1,$A943-50+1)):E943),"n.a.")))</f>
        <v/>
      </c>
      <c r="G943" s="166" t="str">
        <f>IF($A943&gt;MIN($A$10,$A$2),"",IF($A943&lt;200,"n.a.",IF(COUNT(INDEX(StockDaily[Adjusted close],MAX(1,$A943-200+1)):E943)=200,AVERAGE(INDEX(StockDaily[Adjusted close],MAX(1,$A943-200+1)):E943),"n.a.")))</f>
        <v/>
      </c>
      <c r="H943" s="136" t="str">
        <f>IF($A943&gt;MIN($A$10,$A$2),"",IF($A$5="","Choose stock",IF(NOT($A$12),"Check split rule",IF(NOT(ISNUMBER(B943)),"Invalid date",IF(OR(B943&lt;=0,B943&lt;&gt;INT(B943)),"Invalid date",IF(COUNTIFS(DemoHistory[Date],B943)&lt;&gt;1,"Duplicate date",IF(AND($A943&gt;1,B943&lt;=B942),"Dates out of order",IF(NOT(ISNUMBER(C943)),"Missing price",IF(C943&lt;=0,"Nonpositive price","OK")))))))))</f>
        <v/>
      </c>
      <c r="I943" s="136"/>
      <c r="J943" s="136"/>
      <c r="K943" s="136"/>
      <c r="L943" s="136"/>
      <c r="M943" s="136"/>
      <c r="N943" s="136" t="e">
        <f t="shared" si="43"/>
        <v>#N/A</v>
      </c>
      <c r="O943" s="136" t="e">
        <f t="shared" si="44"/>
        <v>#N/A</v>
      </c>
    </row>
    <row r="944" spans="1:15" ht="22.05" customHeight="1" x14ac:dyDescent="0.3">
      <c r="A944" s="136">
        <v>900</v>
      </c>
      <c r="B944" s="165" t="str">
        <f>IF($A944&gt;MIN($A$10,$A$2),"",INDEX(DemoHistory[Date],$A944))</f>
        <v/>
      </c>
      <c r="C944" s="166" t="str">
        <f>IF(OR($A944&gt;MIN($A$10,$A$2),$A$5=""),"",INDEX(DemoHistory[],$A944,MATCH($A$5,DemoHistory[#Headers],0)))</f>
        <v/>
      </c>
      <c r="D944" s="166" t="str">
        <f>IF($A944&gt;MIN($A$10,$A$2),"",IF(AND($A$12,$A$6=1,B944&lt;$A$7,$A$7&lt;=MAX(DemoHistory[Date])),$A$8,1))</f>
        <v/>
      </c>
      <c r="E944" s="166" t="str">
        <f t="shared" si="42"/>
        <v/>
      </c>
      <c r="F944" s="166" t="str">
        <f>IF($A944&gt;MIN($A$10,$A$2),"",IF($A944&lt;50,"n.a.",IF(COUNT(INDEX(StockDaily[Adjusted close],MAX(1,$A944-50+1)):E944)=50,AVERAGE(INDEX(StockDaily[Adjusted close],MAX(1,$A944-50+1)):E944),"n.a.")))</f>
        <v/>
      </c>
      <c r="G944" s="166" t="str">
        <f>IF($A944&gt;MIN($A$10,$A$2),"",IF($A944&lt;200,"n.a.",IF(COUNT(INDEX(StockDaily[Adjusted close],MAX(1,$A944-200+1)):E944)=200,AVERAGE(INDEX(StockDaily[Adjusted close],MAX(1,$A944-200+1)):E944),"n.a.")))</f>
        <v/>
      </c>
      <c r="H944" s="136" t="str">
        <f>IF($A944&gt;MIN($A$10,$A$2),"",IF($A$5="","Choose stock",IF(NOT($A$12),"Check split rule",IF(NOT(ISNUMBER(B944)),"Invalid date",IF(OR(B944&lt;=0,B944&lt;&gt;INT(B944)),"Invalid date",IF(COUNTIFS(DemoHistory[Date],B944)&lt;&gt;1,"Duplicate date",IF(AND($A944&gt;1,B944&lt;=B943),"Dates out of order",IF(NOT(ISNUMBER(C944)),"Missing price",IF(C944&lt;=0,"Nonpositive price","OK")))))))))</f>
        <v/>
      </c>
      <c r="I944" s="136"/>
      <c r="J944" s="136"/>
      <c r="K944" s="136"/>
      <c r="L944" s="136"/>
      <c r="M944" s="136"/>
      <c r="N944" s="136" t="e">
        <f t="shared" si="43"/>
        <v>#N/A</v>
      </c>
      <c r="O944" s="136" t="e">
        <f t="shared" si="44"/>
        <v>#N/A</v>
      </c>
    </row>
    <row r="945" spans="1:15" ht="22.05" customHeight="1" x14ac:dyDescent="0.3">
      <c r="A945" s="136">
        <v>901</v>
      </c>
      <c r="B945" s="165" t="str">
        <f>IF($A945&gt;MIN($A$10,$A$2),"",INDEX(DemoHistory[Date],$A945))</f>
        <v/>
      </c>
      <c r="C945" s="166" t="str">
        <f>IF(OR($A945&gt;MIN($A$10,$A$2),$A$5=""),"",INDEX(DemoHistory[],$A945,MATCH($A$5,DemoHistory[#Headers],0)))</f>
        <v/>
      </c>
      <c r="D945" s="166" t="str">
        <f>IF($A945&gt;MIN($A$10,$A$2),"",IF(AND($A$12,$A$6=1,B945&lt;$A$7,$A$7&lt;=MAX(DemoHistory[Date])),$A$8,1))</f>
        <v/>
      </c>
      <c r="E945" s="166" t="str">
        <f t="shared" si="42"/>
        <v/>
      </c>
      <c r="F945" s="166" t="str">
        <f>IF($A945&gt;MIN($A$10,$A$2),"",IF($A945&lt;50,"n.a.",IF(COUNT(INDEX(StockDaily[Adjusted close],MAX(1,$A945-50+1)):E945)=50,AVERAGE(INDEX(StockDaily[Adjusted close],MAX(1,$A945-50+1)):E945),"n.a.")))</f>
        <v/>
      </c>
      <c r="G945" s="166" t="str">
        <f>IF($A945&gt;MIN($A$10,$A$2),"",IF($A945&lt;200,"n.a.",IF(COUNT(INDEX(StockDaily[Adjusted close],MAX(1,$A945-200+1)):E945)=200,AVERAGE(INDEX(StockDaily[Adjusted close],MAX(1,$A945-200+1)):E945),"n.a.")))</f>
        <v/>
      </c>
      <c r="H945" s="136" t="str">
        <f>IF($A945&gt;MIN($A$10,$A$2),"",IF($A$5="","Choose stock",IF(NOT($A$12),"Check split rule",IF(NOT(ISNUMBER(B945)),"Invalid date",IF(OR(B945&lt;=0,B945&lt;&gt;INT(B945)),"Invalid date",IF(COUNTIFS(DemoHistory[Date],B945)&lt;&gt;1,"Duplicate date",IF(AND($A945&gt;1,B945&lt;=B944),"Dates out of order",IF(NOT(ISNUMBER(C945)),"Missing price",IF(C945&lt;=0,"Nonpositive price","OK")))))))))</f>
        <v/>
      </c>
      <c r="I945" s="136"/>
      <c r="J945" s="136"/>
      <c r="K945" s="136"/>
      <c r="L945" s="136"/>
      <c r="M945" s="136"/>
      <c r="N945" s="136" t="e">
        <f t="shared" si="43"/>
        <v>#N/A</v>
      </c>
      <c r="O945" s="136" t="e">
        <f t="shared" si="44"/>
        <v>#N/A</v>
      </c>
    </row>
    <row r="946" spans="1:15" ht="22.05" customHeight="1" x14ac:dyDescent="0.3">
      <c r="A946" s="136">
        <v>902</v>
      </c>
      <c r="B946" s="165" t="str">
        <f>IF($A946&gt;MIN($A$10,$A$2),"",INDEX(DemoHistory[Date],$A946))</f>
        <v/>
      </c>
      <c r="C946" s="166" t="str">
        <f>IF(OR($A946&gt;MIN($A$10,$A$2),$A$5=""),"",INDEX(DemoHistory[],$A946,MATCH($A$5,DemoHistory[#Headers],0)))</f>
        <v/>
      </c>
      <c r="D946" s="166" t="str">
        <f>IF($A946&gt;MIN($A$10,$A$2),"",IF(AND($A$12,$A$6=1,B946&lt;$A$7,$A$7&lt;=MAX(DemoHistory[Date])),$A$8,1))</f>
        <v/>
      </c>
      <c r="E946" s="166" t="str">
        <f t="shared" si="42"/>
        <v/>
      </c>
      <c r="F946" s="166" t="str">
        <f>IF($A946&gt;MIN($A$10,$A$2),"",IF($A946&lt;50,"n.a.",IF(COUNT(INDEX(StockDaily[Adjusted close],MAX(1,$A946-50+1)):E946)=50,AVERAGE(INDEX(StockDaily[Adjusted close],MAX(1,$A946-50+1)):E946),"n.a.")))</f>
        <v/>
      </c>
      <c r="G946" s="166" t="str">
        <f>IF($A946&gt;MIN($A$10,$A$2),"",IF($A946&lt;200,"n.a.",IF(COUNT(INDEX(StockDaily[Adjusted close],MAX(1,$A946-200+1)):E946)=200,AVERAGE(INDEX(StockDaily[Adjusted close],MAX(1,$A946-200+1)):E946),"n.a.")))</f>
        <v/>
      </c>
      <c r="H946" s="136" t="str">
        <f>IF($A946&gt;MIN($A$10,$A$2),"",IF($A$5="","Choose stock",IF(NOT($A$12),"Check split rule",IF(NOT(ISNUMBER(B946)),"Invalid date",IF(OR(B946&lt;=0,B946&lt;&gt;INT(B946)),"Invalid date",IF(COUNTIFS(DemoHistory[Date],B946)&lt;&gt;1,"Duplicate date",IF(AND($A946&gt;1,B946&lt;=B945),"Dates out of order",IF(NOT(ISNUMBER(C946)),"Missing price",IF(C946&lt;=0,"Nonpositive price","OK")))))))))</f>
        <v/>
      </c>
      <c r="I946" s="136"/>
      <c r="J946" s="136"/>
      <c r="K946" s="136"/>
      <c r="L946" s="136"/>
      <c r="M946" s="136"/>
      <c r="N946" s="136" t="e">
        <f t="shared" si="43"/>
        <v>#N/A</v>
      </c>
      <c r="O946" s="136" t="e">
        <f t="shared" si="44"/>
        <v>#N/A</v>
      </c>
    </row>
    <row r="947" spans="1:15" ht="22.05" customHeight="1" x14ac:dyDescent="0.3">
      <c r="A947" s="136">
        <v>903</v>
      </c>
      <c r="B947" s="165" t="str">
        <f>IF($A947&gt;MIN($A$10,$A$2),"",INDEX(DemoHistory[Date],$A947))</f>
        <v/>
      </c>
      <c r="C947" s="166" t="str">
        <f>IF(OR($A947&gt;MIN($A$10,$A$2),$A$5=""),"",INDEX(DemoHistory[],$A947,MATCH($A$5,DemoHistory[#Headers],0)))</f>
        <v/>
      </c>
      <c r="D947" s="166" t="str">
        <f>IF($A947&gt;MIN($A$10,$A$2),"",IF(AND($A$12,$A$6=1,B947&lt;$A$7,$A$7&lt;=MAX(DemoHistory[Date])),$A$8,1))</f>
        <v/>
      </c>
      <c r="E947" s="166" t="str">
        <f t="shared" si="42"/>
        <v/>
      </c>
      <c r="F947" s="166" t="str">
        <f>IF($A947&gt;MIN($A$10,$A$2),"",IF($A947&lt;50,"n.a.",IF(COUNT(INDEX(StockDaily[Adjusted close],MAX(1,$A947-50+1)):E947)=50,AVERAGE(INDEX(StockDaily[Adjusted close],MAX(1,$A947-50+1)):E947),"n.a.")))</f>
        <v/>
      </c>
      <c r="G947" s="166" t="str">
        <f>IF($A947&gt;MIN($A$10,$A$2),"",IF($A947&lt;200,"n.a.",IF(COUNT(INDEX(StockDaily[Adjusted close],MAX(1,$A947-200+1)):E947)=200,AVERAGE(INDEX(StockDaily[Adjusted close],MAX(1,$A947-200+1)):E947),"n.a.")))</f>
        <v/>
      </c>
      <c r="H947" s="136" t="str">
        <f>IF($A947&gt;MIN($A$10,$A$2),"",IF($A$5="","Choose stock",IF(NOT($A$12),"Check split rule",IF(NOT(ISNUMBER(B947)),"Invalid date",IF(OR(B947&lt;=0,B947&lt;&gt;INT(B947)),"Invalid date",IF(COUNTIFS(DemoHistory[Date],B947)&lt;&gt;1,"Duplicate date",IF(AND($A947&gt;1,B947&lt;=B946),"Dates out of order",IF(NOT(ISNUMBER(C947)),"Missing price",IF(C947&lt;=0,"Nonpositive price","OK")))))))))</f>
        <v/>
      </c>
      <c r="I947" s="136"/>
      <c r="J947" s="136"/>
      <c r="K947" s="136"/>
      <c r="L947" s="136"/>
      <c r="M947" s="136"/>
      <c r="N947" s="136" t="e">
        <f t="shared" si="43"/>
        <v>#N/A</v>
      </c>
      <c r="O947" s="136" t="e">
        <f t="shared" si="44"/>
        <v>#N/A</v>
      </c>
    </row>
    <row r="948" spans="1:15" ht="22.05" customHeight="1" x14ac:dyDescent="0.3">
      <c r="A948" s="136">
        <v>904</v>
      </c>
      <c r="B948" s="165" t="str">
        <f>IF($A948&gt;MIN($A$10,$A$2),"",INDEX(DemoHistory[Date],$A948))</f>
        <v/>
      </c>
      <c r="C948" s="166" t="str">
        <f>IF(OR($A948&gt;MIN($A$10,$A$2),$A$5=""),"",INDEX(DemoHistory[],$A948,MATCH($A$5,DemoHistory[#Headers],0)))</f>
        <v/>
      </c>
      <c r="D948" s="166" t="str">
        <f>IF($A948&gt;MIN($A$10,$A$2),"",IF(AND($A$12,$A$6=1,B948&lt;$A$7,$A$7&lt;=MAX(DemoHistory[Date])),$A$8,1))</f>
        <v/>
      </c>
      <c r="E948" s="166" t="str">
        <f t="shared" si="42"/>
        <v/>
      </c>
      <c r="F948" s="166" t="str">
        <f>IF($A948&gt;MIN($A$10,$A$2),"",IF($A948&lt;50,"n.a.",IF(COUNT(INDEX(StockDaily[Adjusted close],MAX(1,$A948-50+1)):E948)=50,AVERAGE(INDEX(StockDaily[Adjusted close],MAX(1,$A948-50+1)):E948),"n.a.")))</f>
        <v/>
      </c>
      <c r="G948" s="166" t="str">
        <f>IF($A948&gt;MIN($A$10,$A$2),"",IF($A948&lt;200,"n.a.",IF(COUNT(INDEX(StockDaily[Adjusted close],MAX(1,$A948-200+1)):E948)=200,AVERAGE(INDEX(StockDaily[Adjusted close],MAX(1,$A948-200+1)):E948),"n.a.")))</f>
        <v/>
      </c>
      <c r="H948" s="136" t="str">
        <f>IF($A948&gt;MIN($A$10,$A$2),"",IF($A$5="","Choose stock",IF(NOT($A$12),"Check split rule",IF(NOT(ISNUMBER(B948)),"Invalid date",IF(OR(B948&lt;=0,B948&lt;&gt;INT(B948)),"Invalid date",IF(COUNTIFS(DemoHistory[Date],B948)&lt;&gt;1,"Duplicate date",IF(AND($A948&gt;1,B948&lt;=B947),"Dates out of order",IF(NOT(ISNUMBER(C948)),"Missing price",IF(C948&lt;=0,"Nonpositive price","OK")))))))))</f>
        <v/>
      </c>
      <c r="I948" s="136"/>
      <c r="J948" s="136"/>
      <c r="K948" s="136"/>
      <c r="L948" s="136"/>
      <c r="M948" s="136"/>
      <c r="N948" s="136" t="e">
        <f t="shared" si="43"/>
        <v>#N/A</v>
      </c>
      <c r="O948" s="136" t="e">
        <f t="shared" si="44"/>
        <v>#N/A</v>
      </c>
    </row>
    <row r="949" spans="1:15" ht="22.05" customHeight="1" x14ac:dyDescent="0.3">
      <c r="A949" s="136">
        <v>905</v>
      </c>
      <c r="B949" s="165" t="str">
        <f>IF($A949&gt;MIN($A$10,$A$2),"",INDEX(DemoHistory[Date],$A949))</f>
        <v/>
      </c>
      <c r="C949" s="166" t="str">
        <f>IF(OR($A949&gt;MIN($A$10,$A$2),$A$5=""),"",INDEX(DemoHistory[],$A949,MATCH($A$5,DemoHistory[#Headers],0)))</f>
        <v/>
      </c>
      <c r="D949" s="166" t="str">
        <f>IF($A949&gt;MIN($A$10,$A$2),"",IF(AND($A$12,$A$6=1,B949&lt;$A$7,$A$7&lt;=MAX(DemoHistory[Date])),$A$8,1))</f>
        <v/>
      </c>
      <c r="E949" s="166" t="str">
        <f t="shared" si="42"/>
        <v/>
      </c>
      <c r="F949" s="166" t="str">
        <f>IF($A949&gt;MIN($A$10,$A$2),"",IF($A949&lt;50,"n.a.",IF(COUNT(INDEX(StockDaily[Adjusted close],MAX(1,$A949-50+1)):E949)=50,AVERAGE(INDEX(StockDaily[Adjusted close],MAX(1,$A949-50+1)):E949),"n.a.")))</f>
        <v/>
      </c>
      <c r="G949" s="166" t="str">
        <f>IF($A949&gt;MIN($A$10,$A$2),"",IF($A949&lt;200,"n.a.",IF(COUNT(INDEX(StockDaily[Adjusted close],MAX(1,$A949-200+1)):E949)=200,AVERAGE(INDEX(StockDaily[Adjusted close],MAX(1,$A949-200+1)):E949),"n.a.")))</f>
        <v/>
      </c>
      <c r="H949" s="136" t="str">
        <f>IF($A949&gt;MIN($A$10,$A$2),"",IF($A$5="","Choose stock",IF(NOT($A$12),"Check split rule",IF(NOT(ISNUMBER(B949)),"Invalid date",IF(OR(B949&lt;=0,B949&lt;&gt;INT(B949)),"Invalid date",IF(COUNTIFS(DemoHistory[Date],B949)&lt;&gt;1,"Duplicate date",IF(AND($A949&gt;1,B949&lt;=B948),"Dates out of order",IF(NOT(ISNUMBER(C949)),"Missing price",IF(C949&lt;=0,"Nonpositive price","OK")))))))))</f>
        <v/>
      </c>
      <c r="I949" s="136"/>
      <c r="J949" s="136"/>
      <c r="K949" s="136"/>
      <c r="L949" s="136"/>
      <c r="M949" s="136"/>
      <c r="N949" s="136" t="e">
        <f t="shared" si="43"/>
        <v>#N/A</v>
      </c>
      <c r="O949" s="136" t="e">
        <f t="shared" si="44"/>
        <v>#N/A</v>
      </c>
    </row>
    <row r="950" spans="1:15" ht="22.05" customHeight="1" x14ac:dyDescent="0.3">
      <c r="A950" s="136">
        <v>906</v>
      </c>
      <c r="B950" s="165" t="str">
        <f>IF($A950&gt;MIN($A$10,$A$2),"",INDEX(DemoHistory[Date],$A950))</f>
        <v/>
      </c>
      <c r="C950" s="166" t="str">
        <f>IF(OR($A950&gt;MIN($A$10,$A$2),$A$5=""),"",INDEX(DemoHistory[],$A950,MATCH($A$5,DemoHistory[#Headers],0)))</f>
        <v/>
      </c>
      <c r="D950" s="166" t="str">
        <f>IF($A950&gt;MIN($A$10,$A$2),"",IF(AND($A$12,$A$6=1,B950&lt;$A$7,$A$7&lt;=MAX(DemoHistory[Date])),$A$8,1))</f>
        <v/>
      </c>
      <c r="E950" s="166" t="str">
        <f t="shared" si="42"/>
        <v/>
      </c>
      <c r="F950" s="166" t="str">
        <f>IF($A950&gt;MIN($A$10,$A$2),"",IF($A950&lt;50,"n.a.",IF(COUNT(INDEX(StockDaily[Adjusted close],MAX(1,$A950-50+1)):E950)=50,AVERAGE(INDEX(StockDaily[Adjusted close],MAX(1,$A950-50+1)):E950),"n.a.")))</f>
        <v/>
      </c>
      <c r="G950" s="166" t="str">
        <f>IF($A950&gt;MIN($A$10,$A$2),"",IF($A950&lt;200,"n.a.",IF(COUNT(INDEX(StockDaily[Adjusted close],MAX(1,$A950-200+1)):E950)=200,AVERAGE(INDEX(StockDaily[Adjusted close],MAX(1,$A950-200+1)):E950),"n.a.")))</f>
        <v/>
      </c>
      <c r="H950" s="136" t="str">
        <f>IF($A950&gt;MIN($A$10,$A$2),"",IF($A$5="","Choose stock",IF(NOT($A$12),"Check split rule",IF(NOT(ISNUMBER(B950)),"Invalid date",IF(OR(B950&lt;=0,B950&lt;&gt;INT(B950)),"Invalid date",IF(COUNTIFS(DemoHistory[Date],B950)&lt;&gt;1,"Duplicate date",IF(AND($A950&gt;1,B950&lt;=B949),"Dates out of order",IF(NOT(ISNUMBER(C950)),"Missing price",IF(C950&lt;=0,"Nonpositive price","OK")))))))))</f>
        <v/>
      </c>
      <c r="I950" s="136"/>
      <c r="J950" s="136"/>
      <c r="K950" s="136"/>
      <c r="L950" s="136"/>
      <c r="M950" s="136"/>
      <c r="N950" s="136" t="e">
        <f t="shared" si="43"/>
        <v>#N/A</v>
      </c>
      <c r="O950" s="136" t="e">
        <f t="shared" si="44"/>
        <v>#N/A</v>
      </c>
    </row>
    <row r="951" spans="1:15" ht="22.05" customHeight="1" x14ac:dyDescent="0.3">
      <c r="A951" s="136">
        <v>907</v>
      </c>
      <c r="B951" s="165" t="str">
        <f>IF($A951&gt;MIN($A$10,$A$2),"",INDEX(DemoHistory[Date],$A951))</f>
        <v/>
      </c>
      <c r="C951" s="166" t="str">
        <f>IF(OR($A951&gt;MIN($A$10,$A$2),$A$5=""),"",INDEX(DemoHistory[],$A951,MATCH($A$5,DemoHistory[#Headers],0)))</f>
        <v/>
      </c>
      <c r="D951" s="166" t="str">
        <f>IF($A951&gt;MIN($A$10,$A$2),"",IF(AND($A$12,$A$6=1,B951&lt;$A$7,$A$7&lt;=MAX(DemoHistory[Date])),$A$8,1))</f>
        <v/>
      </c>
      <c r="E951" s="166" t="str">
        <f t="shared" si="42"/>
        <v/>
      </c>
      <c r="F951" s="166" t="str">
        <f>IF($A951&gt;MIN($A$10,$A$2),"",IF($A951&lt;50,"n.a.",IF(COUNT(INDEX(StockDaily[Adjusted close],MAX(1,$A951-50+1)):E951)=50,AVERAGE(INDEX(StockDaily[Adjusted close],MAX(1,$A951-50+1)):E951),"n.a.")))</f>
        <v/>
      </c>
      <c r="G951" s="166" t="str">
        <f>IF($A951&gt;MIN($A$10,$A$2),"",IF($A951&lt;200,"n.a.",IF(COUNT(INDEX(StockDaily[Adjusted close],MAX(1,$A951-200+1)):E951)=200,AVERAGE(INDEX(StockDaily[Adjusted close],MAX(1,$A951-200+1)):E951),"n.a.")))</f>
        <v/>
      </c>
      <c r="H951" s="136" t="str">
        <f>IF($A951&gt;MIN($A$10,$A$2),"",IF($A$5="","Choose stock",IF(NOT($A$12),"Check split rule",IF(NOT(ISNUMBER(B951)),"Invalid date",IF(OR(B951&lt;=0,B951&lt;&gt;INT(B951)),"Invalid date",IF(COUNTIFS(DemoHistory[Date],B951)&lt;&gt;1,"Duplicate date",IF(AND($A951&gt;1,B951&lt;=B950),"Dates out of order",IF(NOT(ISNUMBER(C951)),"Missing price",IF(C951&lt;=0,"Nonpositive price","OK")))))))))</f>
        <v/>
      </c>
      <c r="I951" s="136"/>
      <c r="J951" s="136"/>
      <c r="K951" s="136"/>
      <c r="L951" s="136"/>
      <c r="M951" s="136"/>
      <c r="N951" s="136" t="e">
        <f t="shared" si="43"/>
        <v>#N/A</v>
      </c>
      <c r="O951" s="136" t="e">
        <f t="shared" si="44"/>
        <v>#N/A</v>
      </c>
    </row>
    <row r="952" spans="1:15" ht="22.05" customHeight="1" x14ac:dyDescent="0.3">
      <c r="A952" s="136">
        <v>908</v>
      </c>
      <c r="B952" s="165" t="str">
        <f>IF($A952&gt;MIN($A$10,$A$2),"",INDEX(DemoHistory[Date],$A952))</f>
        <v/>
      </c>
      <c r="C952" s="166" t="str">
        <f>IF(OR($A952&gt;MIN($A$10,$A$2),$A$5=""),"",INDEX(DemoHistory[],$A952,MATCH($A$5,DemoHistory[#Headers],0)))</f>
        <v/>
      </c>
      <c r="D952" s="166" t="str">
        <f>IF($A952&gt;MIN($A$10,$A$2),"",IF(AND($A$12,$A$6=1,B952&lt;$A$7,$A$7&lt;=MAX(DemoHistory[Date])),$A$8,1))</f>
        <v/>
      </c>
      <c r="E952" s="166" t="str">
        <f t="shared" si="42"/>
        <v/>
      </c>
      <c r="F952" s="166" t="str">
        <f>IF($A952&gt;MIN($A$10,$A$2),"",IF($A952&lt;50,"n.a.",IF(COUNT(INDEX(StockDaily[Adjusted close],MAX(1,$A952-50+1)):E952)=50,AVERAGE(INDEX(StockDaily[Adjusted close],MAX(1,$A952-50+1)):E952),"n.a.")))</f>
        <v/>
      </c>
      <c r="G952" s="166" t="str">
        <f>IF($A952&gt;MIN($A$10,$A$2),"",IF($A952&lt;200,"n.a.",IF(COUNT(INDEX(StockDaily[Adjusted close],MAX(1,$A952-200+1)):E952)=200,AVERAGE(INDEX(StockDaily[Adjusted close],MAX(1,$A952-200+1)):E952),"n.a.")))</f>
        <v/>
      </c>
      <c r="H952" s="136" t="str">
        <f>IF($A952&gt;MIN($A$10,$A$2),"",IF($A$5="","Choose stock",IF(NOT($A$12),"Check split rule",IF(NOT(ISNUMBER(B952)),"Invalid date",IF(OR(B952&lt;=0,B952&lt;&gt;INT(B952)),"Invalid date",IF(COUNTIFS(DemoHistory[Date],B952)&lt;&gt;1,"Duplicate date",IF(AND($A952&gt;1,B952&lt;=B951),"Dates out of order",IF(NOT(ISNUMBER(C952)),"Missing price",IF(C952&lt;=0,"Nonpositive price","OK")))))))))</f>
        <v/>
      </c>
      <c r="I952" s="136"/>
      <c r="J952" s="136"/>
      <c r="K952" s="136"/>
      <c r="L952" s="136"/>
      <c r="M952" s="136"/>
      <c r="N952" s="136" t="e">
        <f t="shared" si="43"/>
        <v>#N/A</v>
      </c>
      <c r="O952" s="136" t="e">
        <f t="shared" si="44"/>
        <v>#N/A</v>
      </c>
    </row>
    <row r="953" spans="1:15" ht="22.05" customHeight="1" x14ac:dyDescent="0.3">
      <c r="A953" s="136">
        <v>909</v>
      </c>
      <c r="B953" s="165" t="str">
        <f>IF($A953&gt;MIN($A$10,$A$2),"",INDEX(DemoHistory[Date],$A953))</f>
        <v/>
      </c>
      <c r="C953" s="166" t="str">
        <f>IF(OR($A953&gt;MIN($A$10,$A$2),$A$5=""),"",INDEX(DemoHistory[],$A953,MATCH($A$5,DemoHistory[#Headers],0)))</f>
        <v/>
      </c>
      <c r="D953" s="166" t="str">
        <f>IF($A953&gt;MIN($A$10,$A$2),"",IF(AND($A$12,$A$6=1,B953&lt;$A$7,$A$7&lt;=MAX(DemoHistory[Date])),$A$8,1))</f>
        <v/>
      </c>
      <c r="E953" s="166" t="str">
        <f t="shared" si="42"/>
        <v/>
      </c>
      <c r="F953" s="166" t="str">
        <f>IF($A953&gt;MIN($A$10,$A$2),"",IF($A953&lt;50,"n.a.",IF(COUNT(INDEX(StockDaily[Adjusted close],MAX(1,$A953-50+1)):E953)=50,AVERAGE(INDEX(StockDaily[Adjusted close],MAX(1,$A953-50+1)):E953),"n.a.")))</f>
        <v/>
      </c>
      <c r="G953" s="166" t="str">
        <f>IF($A953&gt;MIN($A$10,$A$2),"",IF($A953&lt;200,"n.a.",IF(COUNT(INDEX(StockDaily[Adjusted close],MAX(1,$A953-200+1)):E953)=200,AVERAGE(INDEX(StockDaily[Adjusted close],MAX(1,$A953-200+1)):E953),"n.a.")))</f>
        <v/>
      </c>
      <c r="H953" s="136" t="str">
        <f>IF($A953&gt;MIN($A$10,$A$2),"",IF($A$5="","Choose stock",IF(NOT($A$12),"Check split rule",IF(NOT(ISNUMBER(B953)),"Invalid date",IF(OR(B953&lt;=0,B953&lt;&gt;INT(B953)),"Invalid date",IF(COUNTIFS(DemoHistory[Date],B953)&lt;&gt;1,"Duplicate date",IF(AND($A953&gt;1,B953&lt;=B952),"Dates out of order",IF(NOT(ISNUMBER(C953)),"Missing price",IF(C953&lt;=0,"Nonpositive price","OK")))))))))</f>
        <v/>
      </c>
      <c r="I953" s="136"/>
      <c r="J953" s="136"/>
      <c r="K953" s="136"/>
      <c r="L953" s="136"/>
      <c r="M953" s="136"/>
      <c r="N953" s="136" t="e">
        <f t="shared" si="43"/>
        <v>#N/A</v>
      </c>
      <c r="O953" s="136" t="e">
        <f t="shared" si="44"/>
        <v>#N/A</v>
      </c>
    </row>
    <row r="954" spans="1:15" ht="22.05" customHeight="1" x14ac:dyDescent="0.3">
      <c r="A954" s="136">
        <v>910</v>
      </c>
      <c r="B954" s="165" t="str">
        <f>IF($A954&gt;MIN($A$10,$A$2),"",INDEX(DemoHistory[Date],$A954))</f>
        <v/>
      </c>
      <c r="C954" s="166" t="str">
        <f>IF(OR($A954&gt;MIN($A$10,$A$2),$A$5=""),"",INDEX(DemoHistory[],$A954,MATCH($A$5,DemoHistory[#Headers],0)))</f>
        <v/>
      </c>
      <c r="D954" s="166" t="str">
        <f>IF($A954&gt;MIN($A$10,$A$2),"",IF(AND($A$12,$A$6=1,B954&lt;$A$7,$A$7&lt;=MAX(DemoHistory[Date])),$A$8,1))</f>
        <v/>
      </c>
      <c r="E954" s="166" t="str">
        <f t="shared" si="42"/>
        <v/>
      </c>
      <c r="F954" s="166" t="str">
        <f>IF($A954&gt;MIN($A$10,$A$2),"",IF($A954&lt;50,"n.a.",IF(COUNT(INDEX(StockDaily[Adjusted close],MAX(1,$A954-50+1)):E954)=50,AVERAGE(INDEX(StockDaily[Adjusted close],MAX(1,$A954-50+1)):E954),"n.a.")))</f>
        <v/>
      </c>
      <c r="G954" s="166" t="str">
        <f>IF($A954&gt;MIN($A$10,$A$2),"",IF($A954&lt;200,"n.a.",IF(COUNT(INDEX(StockDaily[Adjusted close],MAX(1,$A954-200+1)):E954)=200,AVERAGE(INDEX(StockDaily[Adjusted close],MAX(1,$A954-200+1)):E954),"n.a.")))</f>
        <v/>
      </c>
      <c r="H954" s="136" t="str">
        <f>IF($A954&gt;MIN($A$10,$A$2),"",IF($A$5="","Choose stock",IF(NOT($A$12),"Check split rule",IF(NOT(ISNUMBER(B954)),"Invalid date",IF(OR(B954&lt;=0,B954&lt;&gt;INT(B954)),"Invalid date",IF(COUNTIFS(DemoHistory[Date],B954)&lt;&gt;1,"Duplicate date",IF(AND($A954&gt;1,B954&lt;=B953),"Dates out of order",IF(NOT(ISNUMBER(C954)),"Missing price",IF(C954&lt;=0,"Nonpositive price","OK")))))))))</f>
        <v/>
      </c>
      <c r="I954" s="136"/>
      <c r="J954" s="136"/>
      <c r="K954" s="136"/>
      <c r="L954" s="136"/>
      <c r="M954" s="136"/>
      <c r="N954" s="136" t="e">
        <f t="shared" si="43"/>
        <v>#N/A</v>
      </c>
      <c r="O954" s="136" t="e">
        <f t="shared" si="44"/>
        <v>#N/A</v>
      </c>
    </row>
    <row r="955" spans="1:15" ht="22.05" customHeight="1" x14ac:dyDescent="0.3">
      <c r="A955" s="136">
        <v>911</v>
      </c>
      <c r="B955" s="165" t="str">
        <f>IF($A955&gt;MIN($A$10,$A$2),"",INDEX(DemoHistory[Date],$A955))</f>
        <v/>
      </c>
      <c r="C955" s="166" t="str">
        <f>IF(OR($A955&gt;MIN($A$10,$A$2),$A$5=""),"",INDEX(DemoHistory[],$A955,MATCH($A$5,DemoHistory[#Headers],0)))</f>
        <v/>
      </c>
      <c r="D955" s="166" t="str">
        <f>IF($A955&gt;MIN($A$10,$A$2),"",IF(AND($A$12,$A$6=1,B955&lt;$A$7,$A$7&lt;=MAX(DemoHistory[Date])),$A$8,1))</f>
        <v/>
      </c>
      <c r="E955" s="166" t="str">
        <f t="shared" si="42"/>
        <v/>
      </c>
      <c r="F955" s="166" t="str">
        <f>IF($A955&gt;MIN($A$10,$A$2),"",IF($A955&lt;50,"n.a.",IF(COUNT(INDEX(StockDaily[Adjusted close],MAX(1,$A955-50+1)):E955)=50,AVERAGE(INDEX(StockDaily[Adjusted close],MAX(1,$A955-50+1)):E955),"n.a.")))</f>
        <v/>
      </c>
      <c r="G955" s="166" t="str">
        <f>IF($A955&gt;MIN($A$10,$A$2),"",IF($A955&lt;200,"n.a.",IF(COUNT(INDEX(StockDaily[Adjusted close],MAX(1,$A955-200+1)):E955)=200,AVERAGE(INDEX(StockDaily[Adjusted close],MAX(1,$A955-200+1)):E955),"n.a.")))</f>
        <v/>
      </c>
      <c r="H955" s="136" t="str">
        <f>IF($A955&gt;MIN($A$10,$A$2),"",IF($A$5="","Choose stock",IF(NOT($A$12),"Check split rule",IF(NOT(ISNUMBER(B955)),"Invalid date",IF(OR(B955&lt;=0,B955&lt;&gt;INT(B955)),"Invalid date",IF(COUNTIFS(DemoHistory[Date],B955)&lt;&gt;1,"Duplicate date",IF(AND($A955&gt;1,B955&lt;=B954),"Dates out of order",IF(NOT(ISNUMBER(C955)),"Missing price",IF(C955&lt;=0,"Nonpositive price","OK")))))))))</f>
        <v/>
      </c>
      <c r="I955" s="136"/>
      <c r="J955" s="136"/>
      <c r="K955" s="136"/>
      <c r="L955" s="136"/>
      <c r="M955" s="136"/>
      <c r="N955" s="136" t="e">
        <f t="shared" si="43"/>
        <v>#N/A</v>
      </c>
      <c r="O955" s="136" t="e">
        <f t="shared" si="44"/>
        <v>#N/A</v>
      </c>
    </row>
    <row r="956" spans="1:15" ht="22.05" customHeight="1" x14ac:dyDescent="0.3">
      <c r="A956" s="136">
        <v>912</v>
      </c>
      <c r="B956" s="165" t="str">
        <f>IF($A956&gt;MIN($A$10,$A$2),"",INDEX(DemoHistory[Date],$A956))</f>
        <v/>
      </c>
      <c r="C956" s="166" t="str">
        <f>IF(OR($A956&gt;MIN($A$10,$A$2),$A$5=""),"",INDEX(DemoHistory[],$A956,MATCH($A$5,DemoHistory[#Headers],0)))</f>
        <v/>
      </c>
      <c r="D956" s="166" t="str">
        <f>IF($A956&gt;MIN($A$10,$A$2),"",IF(AND($A$12,$A$6=1,B956&lt;$A$7,$A$7&lt;=MAX(DemoHistory[Date])),$A$8,1))</f>
        <v/>
      </c>
      <c r="E956" s="166" t="str">
        <f t="shared" si="42"/>
        <v/>
      </c>
      <c r="F956" s="166" t="str">
        <f>IF($A956&gt;MIN($A$10,$A$2),"",IF($A956&lt;50,"n.a.",IF(COUNT(INDEX(StockDaily[Adjusted close],MAX(1,$A956-50+1)):E956)=50,AVERAGE(INDEX(StockDaily[Adjusted close],MAX(1,$A956-50+1)):E956),"n.a.")))</f>
        <v/>
      </c>
      <c r="G956" s="166" t="str">
        <f>IF($A956&gt;MIN($A$10,$A$2),"",IF($A956&lt;200,"n.a.",IF(COUNT(INDEX(StockDaily[Adjusted close],MAX(1,$A956-200+1)):E956)=200,AVERAGE(INDEX(StockDaily[Adjusted close],MAX(1,$A956-200+1)):E956),"n.a.")))</f>
        <v/>
      </c>
      <c r="H956" s="136" t="str">
        <f>IF($A956&gt;MIN($A$10,$A$2),"",IF($A$5="","Choose stock",IF(NOT($A$12),"Check split rule",IF(NOT(ISNUMBER(B956)),"Invalid date",IF(OR(B956&lt;=0,B956&lt;&gt;INT(B956)),"Invalid date",IF(COUNTIFS(DemoHistory[Date],B956)&lt;&gt;1,"Duplicate date",IF(AND($A956&gt;1,B956&lt;=B955),"Dates out of order",IF(NOT(ISNUMBER(C956)),"Missing price",IF(C956&lt;=0,"Nonpositive price","OK")))))))))</f>
        <v/>
      </c>
      <c r="I956" s="136"/>
      <c r="J956" s="136"/>
      <c r="K956" s="136"/>
      <c r="L956" s="136"/>
      <c r="M956" s="136"/>
      <c r="N956" s="136" t="e">
        <f t="shared" si="43"/>
        <v>#N/A</v>
      </c>
      <c r="O956" s="136" t="e">
        <f t="shared" si="44"/>
        <v>#N/A</v>
      </c>
    </row>
    <row r="957" spans="1:15" ht="22.05" customHeight="1" x14ac:dyDescent="0.3">
      <c r="A957" s="136">
        <v>913</v>
      </c>
      <c r="B957" s="165" t="str">
        <f>IF($A957&gt;MIN($A$10,$A$2),"",INDEX(DemoHistory[Date],$A957))</f>
        <v/>
      </c>
      <c r="C957" s="166" t="str">
        <f>IF(OR($A957&gt;MIN($A$10,$A$2),$A$5=""),"",INDEX(DemoHistory[],$A957,MATCH($A$5,DemoHistory[#Headers],0)))</f>
        <v/>
      </c>
      <c r="D957" s="166" t="str">
        <f>IF($A957&gt;MIN($A$10,$A$2),"",IF(AND($A$12,$A$6=1,B957&lt;$A$7,$A$7&lt;=MAX(DemoHistory[Date])),$A$8,1))</f>
        <v/>
      </c>
      <c r="E957" s="166" t="str">
        <f t="shared" si="42"/>
        <v/>
      </c>
      <c r="F957" s="166" t="str">
        <f>IF($A957&gt;MIN($A$10,$A$2),"",IF($A957&lt;50,"n.a.",IF(COUNT(INDEX(StockDaily[Adjusted close],MAX(1,$A957-50+1)):E957)=50,AVERAGE(INDEX(StockDaily[Adjusted close],MAX(1,$A957-50+1)):E957),"n.a.")))</f>
        <v/>
      </c>
      <c r="G957" s="166" t="str">
        <f>IF($A957&gt;MIN($A$10,$A$2),"",IF($A957&lt;200,"n.a.",IF(COUNT(INDEX(StockDaily[Adjusted close],MAX(1,$A957-200+1)):E957)=200,AVERAGE(INDEX(StockDaily[Adjusted close],MAX(1,$A957-200+1)):E957),"n.a.")))</f>
        <v/>
      </c>
      <c r="H957" s="136" t="str">
        <f>IF($A957&gt;MIN($A$10,$A$2),"",IF($A$5="","Choose stock",IF(NOT($A$12),"Check split rule",IF(NOT(ISNUMBER(B957)),"Invalid date",IF(OR(B957&lt;=0,B957&lt;&gt;INT(B957)),"Invalid date",IF(COUNTIFS(DemoHistory[Date],B957)&lt;&gt;1,"Duplicate date",IF(AND($A957&gt;1,B957&lt;=B956),"Dates out of order",IF(NOT(ISNUMBER(C957)),"Missing price",IF(C957&lt;=0,"Nonpositive price","OK")))))))))</f>
        <v/>
      </c>
      <c r="I957" s="136"/>
      <c r="J957" s="136"/>
      <c r="K957" s="136"/>
      <c r="L957" s="136"/>
      <c r="M957" s="136"/>
      <c r="N957" s="136" t="e">
        <f t="shared" si="43"/>
        <v>#N/A</v>
      </c>
      <c r="O957" s="136" t="e">
        <f t="shared" si="44"/>
        <v>#N/A</v>
      </c>
    </row>
    <row r="958" spans="1:15" ht="22.05" customHeight="1" x14ac:dyDescent="0.3">
      <c r="A958" s="136">
        <v>914</v>
      </c>
      <c r="B958" s="165" t="str">
        <f>IF($A958&gt;MIN($A$10,$A$2),"",INDEX(DemoHistory[Date],$A958))</f>
        <v/>
      </c>
      <c r="C958" s="166" t="str">
        <f>IF(OR($A958&gt;MIN($A$10,$A$2),$A$5=""),"",INDEX(DemoHistory[],$A958,MATCH($A$5,DemoHistory[#Headers],0)))</f>
        <v/>
      </c>
      <c r="D958" s="166" t="str">
        <f>IF($A958&gt;MIN($A$10,$A$2),"",IF(AND($A$12,$A$6=1,B958&lt;$A$7,$A$7&lt;=MAX(DemoHistory[Date])),$A$8,1))</f>
        <v/>
      </c>
      <c r="E958" s="166" t="str">
        <f t="shared" si="42"/>
        <v/>
      </c>
      <c r="F958" s="166" t="str">
        <f>IF($A958&gt;MIN($A$10,$A$2),"",IF($A958&lt;50,"n.a.",IF(COUNT(INDEX(StockDaily[Adjusted close],MAX(1,$A958-50+1)):E958)=50,AVERAGE(INDEX(StockDaily[Adjusted close],MAX(1,$A958-50+1)):E958),"n.a.")))</f>
        <v/>
      </c>
      <c r="G958" s="166" t="str">
        <f>IF($A958&gt;MIN($A$10,$A$2),"",IF($A958&lt;200,"n.a.",IF(COUNT(INDEX(StockDaily[Adjusted close],MAX(1,$A958-200+1)):E958)=200,AVERAGE(INDEX(StockDaily[Adjusted close],MAX(1,$A958-200+1)):E958),"n.a.")))</f>
        <v/>
      </c>
      <c r="H958" s="136" t="str">
        <f>IF($A958&gt;MIN($A$10,$A$2),"",IF($A$5="","Choose stock",IF(NOT($A$12),"Check split rule",IF(NOT(ISNUMBER(B958)),"Invalid date",IF(OR(B958&lt;=0,B958&lt;&gt;INT(B958)),"Invalid date",IF(COUNTIFS(DemoHistory[Date],B958)&lt;&gt;1,"Duplicate date",IF(AND($A958&gt;1,B958&lt;=B957),"Dates out of order",IF(NOT(ISNUMBER(C958)),"Missing price",IF(C958&lt;=0,"Nonpositive price","OK")))))))))</f>
        <v/>
      </c>
      <c r="I958" s="136"/>
      <c r="J958" s="136"/>
      <c r="K958" s="136"/>
      <c r="L958" s="136"/>
      <c r="M958" s="136"/>
      <c r="N958" s="136" t="e">
        <f t="shared" si="43"/>
        <v>#N/A</v>
      </c>
      <c r="O958" s="136" t="e">
        <f t="shared" si="44"/>
        <v>#N/A</v>
      </c>
    </row>
    <row r="959" spans="1:15" ht="22.05" customHeight="1" x14ac:dyDescent="0.3">
      <c r="A959" s="136">
        <v>915</v>
      </c>
      <c r="B959" s="165" t="str">
        <f>IF($A959&gt;MIN($A$10,$A$2),"",INDEX(DemoHistory[Date],$A959))</f>
        <v/>
      </c>
      <c r="C959" s="166" t="str">
        <f>IF(OR($A959&gt;MIN($A$10,$A$2),$A$5=""),"",INDEX(DemoHistory[],$A959,MATCH($A$5,DemoHistory[#Headers],0)))</f>
        <v/>
      </c>
      <c r="D959" s="166" t="str">
        <f>IF($A959&gt;MIN($A$10,$A$2),"",IF(AND($A$12,$A$6=1,B959&lt;$A$7,$A$7&lt;=MAX(DemoHistory[Date])),$A$8,1))</f>
        <v/>
      </c>
      <c r="E959" s="166" t="str">
        <f t="shared" si="42"/>
        <v/>
      </c>
      <c r="F959" s="166" t="str">
        <f>IF($A959&gt;MIN($A$10,$A$2),"",IF($A959&lt;50,"n.a.",IF(COUNT(INDEX(StockDaily[Adjusted close],MAX(1,$A959-50+1)):E959)=50,AVERAGE(INDEX(StockDaily[Adjusted close],MAX(1,$A959-50+1)):E959),"n.a.")))</f>
        <v/>
      </c>
      <c r="G959" s="166" t="str">
        <f>IF($A959&gt;MIN($A$10,$A$2),"",IF($A959&lt;200,"n.a.",IF(COUNT(INDEX(StockDaily[Adjusted close],MAX(1,$A959-200+1)):E959)=200,AVERAGE(INDEX(StockDaily[Adjusted close],MAX(1,$A959-200+1)):E959),"n.a.")))</f>
        <v/>
      </c>
      <c r="H959" s="136" t="str">
        <f>IF($A959&gt;MIN($A$10,$A$2),"",IF($A$5="","Choose stock",IF(NOT($A$12),"Check split rule",IF(NOT(ISNUMBER(B959)),"Invalid date",IF(OR(B959&lt;=0,B959&lt;&gt;INT(B959)),"Invalid date",IF(COUNTIFS(DemoHistory[Date],B959)&lt;&gt;1,"Duplicate date",IF(AND($A959&gt;1,B959&lt;=B958),"Dates out of order",IF(NOT(ISNUMBER(C959)),"Missing price",IF(C959&lt;=0,"Nonpositive price","OK")))))))))</f>
        <v/>
      </c>
      <c r="I959" s="136"/>
      <c r="J959" s="136"/>
      <c r="K959" s="136"/>
      <c r="L959" s="136"/>
      <c r="M959" s="136"/>
      <c r="N959" s="136" t="e">
        <f t="shared" si="43"/>
        <v>#N/A</v>
      </c>
      <c r="O959" s="136" t="e">
        <f t="shared" si="44"/>
        <v>#N/A</v>
      </c>
    </row>
    <row r="960" spans="1:15" ht="22.05" customHeight="1" x14ac:dyDescent="0.3">
      <c r="A960" s="136">
        <v>916</v>
      </c>
      <c r="B960" s="165" t="str">
        <f>IF($A960&gt;MIN($A$10,$A$2),"",INDEX(DemoHistory[Date],$A960))</f>
        <v/>
      </c>
      <c r="C960" s="166" t="str">
        <f>IF(OR($A960&gt;MIN($A$10,$A$2),$A$5=""),"",INDEX(DemoHistory[],$A960,MATCH($A$5,DemoHistory[#Headers],0)))</f>
        <v/>
      </c>
      <c r="D960" s="166" t="str">
        <f>IF($A960&gt;MIN($A$10,$A$2),"",IF(AND($A$12,$A$6=1,B960&lt;$A$7,$A$7&lt;=MAX(DemoHistory[Date])),$A$8,1))</f>
        <v/>
      </c>
      <c r="E960" s="166" t="str">
        <f t="shared" si="42"/>
        <v/>
      </c>
      <c r="F960" s="166" t="str">
        <f>IF($A960&gt;MIN($A$10,$A$2),"",IF($A960&lt;50,"n.a.",IF(COUNT(INDEX(StockDaily[Adjusted close],MAX(1,$A960-50+1)):E960)=50,AVERAGE(INDEX(StockDaily[Adjusted close],MAX(1,$A960-50+1)):E960),"n.a.")))</f>
        <v/>
      </c>
      <c r="G960" s="166" t="str">
        <f>IF($A960&gt;MIN($A$10,$A$2),"",IF($A960&lt;200,"n.a.",IF(COUNT(INDEX(StockDaily[Adjusted close],MAX(1,$A960-200+1)):E960)=200,AVERAGE(INDEX(StockDaily[Adjusted close],MAX(1,$A960-200+1)):E960),"n.a.")))</f>
        <v/>
      </c>
      <c r="H960" s="136" t="str">
        <f>IF($A960&gt;MIN($A$10,$A$2),"",IF($A$5="","Choose stock",IF(NOT($A$12),"Check split rule",IF(NOT(ISNUMBER(B960)),"Invalid date",IF(OR(B960&lt;=0,B960&lt;&gt;INT(B960)),"Invalid date",IF(COUNTIFS(DemoHistory[Date],B960)&lt;&gt;1,"Duplicate date",IF(AND($A960&gt;1,B960&lt;=B959),"Dates out of order",IF(NOT(ISNUMBER(C960)),"Missing price",IF(C960&lt;=0,"Nonpositive price","OK")))))))))</f>
        <v/>
      </c>
      <c r="I960" s="136"/>
      <c r="J960" s="136"/>
      <c r="K960" s="136"/>
      <c r="L960" s="136"/>
      <c r="M960" s="136"/>
      <c r="N960" s="136" t="e">
        <f t="shared" si="43"/>
        <v>#N/A</v>
      </c>
      <c r="O960" s="136" t="e">
        <f t="shared" si="44"/>
        <v>#N/A</v>
      </c>
    </row>
    <row r="961" spans="1:15" ht="22.05" customHeight="1" x14ac:dyDescent="0.3">
      <c r="A961" s="136">
        <v>917</v>
      </c>
      <c r="B961" s="165" t="str">
        <f>IF($A961&gt;MIN($A$10,$A$2),"",INDEX(DemoHistory[Date],$A961))</f>
        <v/>
      </c>
      <c r="C961" s="166" t="str">
        <f>IF(OR($A961&gt;MIN($A$10,$A$2),$A$5=""),"",INDEX(DemoHistory[],$A961,MATCH($A$5,DemoHistory[#Headers],0)))</f>
        <v/>
      </c>
      <c r="D961" s="166" t="str">
        <f>IF($A961&gt;MIN($A$10,$A$2),"",IF(AND($A$12,$A$6=1,B961&lt;$A$7,$A$7&lt;=MAX(DemoHistory[Date])),$A$8,1))</f>
        <v/>
      </c>
      <c r="E961" s="166" t="str">
        <f t="shared" si="42"/>
        <v/>
      </c>
      <c r="F961" s="166" t="str">
        <f>IF($A961&gt;MIN($A$10,$A$2),"",IF($A961&lt;50,"n.a.",IF(COUNT(INDEX(StockDaily[Adjusted close],MAX(1,$A961-50+1)):E961)=50,AVERAGE(INDEX(StockDaily[Adjusted close],MAX(1,$A961-50+1)):E961),"n.a.")))</f>
        <v/>
      </c>
      <c r="G961" s="166" t="str">
        <f>IF($A961&gt;MIN($A$10,$A$2),"",IF($A961&lt;200,"n.a.",IF(COUNT(INDEX(StockDaily[Adjusted close],MAX(1,$A961-200+1)):E961)=200,AVERAGE(INDEX(StockDaily[Adjusted close],MAX(1,$A961-200+1)):E961),"n.a.")))</f>
        <v/>
      </c>
      <c r="H961" s="136" t="str">
        <f>IF($A961&gt;MIN($A$10,$A$2),"",IF($A$5="","Choose stock",IF(NOT($A$12),"Check split rule",IF(NOT(ISNUMBER(B961)),"Invalid date",IF(OR(B961&lt;=0,B961&lt;&gt;INT(B961)),"Invalid date",IF(COUNTIFS(DemoHistory[Date],B961)&lt;&gt;1,"Duplicate date",IF(AND($A961&gt;1,B961&lt;=B960),"Dates out of order",IF(NOT(ISNUMBER(C961)),"Missing price",IF(C961&lt;=0,"Nonpositive price","OK")))))))))</f>
        <v/>
      </c>
      <c r="I961" s="136"/>
      <c r="J961" s="136"/>
      <c r="K961" s="136"/>
      <c r="L961" s="136"/>
      <c r="M961" s="136"/>
      <c r="N961" s="136" t="e">
        <f t="shared" si="43"/>
        <v>#N/A</v>
      </c>
      <c r="O961" s="136" t="e">
        <f t="shared" si="44"/>
        <v>#N/A</v>
      </c>
    </row>
    <row r="962" spans="1:15" ht="22.05" customHeight="1" x14ac:dyDescent="0.3">
      <c r="A962" s="136">
        <v>918</v>
      </c>
      <c r="B962" s="165" t="str">
        <f>IF($A962&gt;MIN($A$10,$A$2),"",INDEX(DemoHistory[Date],$A962))</f>
        <v/>
      </c>
      <c r="C962" s="166" t="str">
        <f>IF(OR($A962&gt;MIN($A$10,$A$2),$A$5=""),"",INDEX(DemoHistory[],$A962,MATCH($A$5,DemoHistory[#Headers],0)))</f>
        <v/>
      </c>
      <c r="D962" s="166" t="str">
        <f>IF($A962&gt;MIN($A$10,$A$2),"",IF(AND($A$12,$A$6=1,B962&lt;$A$7,$A$7&lt;=MAX(DemoHistory[Date])),$A$8,1))</f>
        <v/>
      </c>
      <c r="E962" s="166" t="str">
        <f t="shared" si="42"/>
        <v/>
      </c>
      <c r="F962" s="166" t="str">
        <f>IF($A962&gt;MIN($A$10,$A$2),"",IF($A962&lt;50,"n.a.",IF(COUNT(INDEX(StockDaily[Adjusted close],MAX(1,$A962-50+1)):E962)=50,AVERAGE(INDEX(StockDaily[Adjusted close],MAX(1,$A962-50+1)):E962),"n.a.")))</f>
        <v/>
      </c>
      <c r="G962" s="166" t="str">
        <f>IF($A962&gt;MIN($A$10,$A$2),"",IF($A962&lt;200,"n.a.",IF(COUNT(INDEX(StockDaily[Adjusted close],MAX(1,$A962-200+1)):E962)=200,AVERAGE(INDEX(StockDaily[Adjusted close],MAX(1,$A962-200+1)):E962),"n.a.")))</f>
        <v/>
      </c>
      <c r="H962" s="136" t="str">
        <f>IF($A962&gt;MIN($A$10,$A$2),"",IF($A$5="","Choose stock",IF(NOT($A$12),"Check split rule",IF(NOT(ISNUMBER(B962)),"Invalid date",IF(OR(B962&lt;=0,B962&lt;&gt;INT(B962)),"Invalid date",IF(COUNTIFS(DemoHistory[Date],B962)&lt;&gt;1,"Duplicate date",IF(AND($A962&gt;1,B962&lt;=B961),"Dates out of order",IF(NOT(ISNUMBER(C962)),"Missing price",IF(C962&lt;=0,"Nonpositive price","OK")))))))))</f>
        <v/>
      </c>
      <c r="I962" s="136"/>
      <c r="J962" s="136"/>
      <c r="K962" s="136"/>
      <c r="L962" s="136"/>
      <c r="M962" s="136"/>
      <c r="N962" s="136" t="e">
        <f t="shared" si="43"/>
        <v>#N/A</v>
      </c>
      <c r="O962" s="136" t="e">
        <f t="shared" si="44"/>
        <v>#N/A</v>
      </c>
    </row>
    <row r="963" spans="1:15" ht="22.05" customHeight="1" x14ac:dyDescent="0.3">
      <c r="A963" s="136">
        <v>919</v>
      </c>
      <c r="B963" s="165" t="str">
        <f>IF($A963&gt;MIN($A$10,$A$2),"",INDEX(DemoHistory[Date],$A963))</f>
        <v/>
      </c>
      <c r="C963" s="166" t="str">
        <f>IF(OR($A963&gt;MIN($A$10,$A$2),$A$5=""),"",INDEX(DemoHistory[],$A963,MATCH($A$5,DemoHistory[#Headers],0)))</f>
        <v/>
      </c>
      <c r="D963" s="166" t="str">
        <f>IF($A963&gt;MIN($A$10,$A$2),"",IF(AND($A$12,$A$6=1,B963&lt;$A$7,$A$7&lt;=MAX(DemoHistory[Date])),$A$8,1))</f>
        <v/>
      </c>
      <c r="E963" s="166" t="str">
        <f t="shared" si="42"/>
        <v/>
      </c>
      <c r="F963" s="166" t="str">
        <f>IF($A963&gt;MIN($A$10,$A$2),"",IF($A963&lt;50,"n.a.",IF(COUNT(INDEX(StockDaily[Adjusted close],MAX(1,$A963-50+1)):E963)=50,AVERAGE(INDEX(StockDaily[Adjusted close],MAX(1,$A963-50+1)):E963),"n.a.")))</f>
        <v/>
      </c>
      <c r="G963" s="166" t="str">
        <f>IF($A963&gt;MIN($A$10,$A$2),"",IF($A963&lt;200,"n.a.",IF(COUNT(INDEX(StockDaily[Adjusted close],MAX(1,$A963-200+1)):E963)=200,AVERAGE(INDEX(StockDaily[Adjusted close],MAX(1,$A963-200+1)):E963),"n.a.")))</f>
        <v/>
      </c>
      <c r="H963" s="136" t="str">
        <f>IF($A963&gt;MIN($A$10,$A$2),"",IF($A$5="","Choose stock",IF(NOT($A$12),"Check split rule",IF(NOT(ISNUMBER(B963)),"Invalid date",IF(OR(B963&lt;=0,B963&lt;&gt;INT(B963)),"Invalid date",IF(COUNTIFS(DemoHistory[Date],B963)&lt;&gt;1,"Duplicate date",IF(AND($A963&gt;1,B963&lt;=B962),"Dates out of order",IF(NOT(ISNUMBER(C963)),"Missing price",IF(C963&lt;=0,"Nonpositive price","OK")))))))))</f>
        <v/>
      </c>
      <c r="I963" s="136"/>
      <c r="J963" s="136"/>
      <c r="K963" s="136"/>
      <c r="L963" s="136"/>
      <c r="M963" s="136"/>
      <c r="N963" s="136" t="e">
        <f t="shared" si="43"/>
        <v>#N/A</v>
      </c>
      <c r="O963" s="136" t="e">
        <f t="shared" si="44"/>
        <v>#N/A</v>
      </c>
    </row>
    <row r="964" spans="1:15" ht="22.05" customHeight="1" x14ac:dyDescent="0.3">
      <c r="A964" s="136">
        <v>920</v>
      </c>
      <c r="B964" s="165" t="str">
        <f>IF($A964&gt;MIN($A$10,$A$2),"",INDEX(DemoHistory[Date],$A964))</f>
        <v/>
      </c>
      <c r="C964" s="166" t="str">
        <f>IF(OR($A964&gt;MIN($A$10,$A$2),$A$5=""),"",INDEX(DemoHistory[],$A964,MATCH($A$5,DemoHistory[#Headers],0)))</f>
        <v/>
      </c>
      <c r="D964" s="166" t="str">
        <f>IF($A964&gt;MIN($A$10,$A$2),"",IF(AND($A$12,$A$6=1,B964&lt;$A$7,$A$7&lt;=MAX(DemoHistory[Date])),$A$8,1))</f>
        <v/>
      </c>
      <c r="E964" s="166" t="str">
        <f t="shared" si="42"/>
        <v/>
      </c>
      <c r="F964" s="166" t="str">
        <f>IF($A964&gt;MIN($A$10,$A$2),"",IF($A964&lt;50,"n.a.",IF(COUNT(INDEX(StockDaily[Adjusted close],MAX(1,$A964-50+1)):E964)=50,AVERAGE(INDEX(StockDaily[Adjusted close],MAX(1,$A964-50+1)):E964),"n.a.")))</f>
        <v/>
      </c>
      <c r="G964" s="166" t="str">
        <f>IF($A964&gt;MIN($A$10,$A$2),"",IF($A964&lt;200,"n.a.",IF(COUNT(INDEX(StockDaily[Adjusted close],MAX(1,$A964-200+1)):E964)=200,AVERAGE(INDEX(StockDaily[Adjusted close],MAX(1,$A964-200+1)):E964),"n.a.")))</f>
        <v/>
      </c>
      <c r="H964" s="136" t="str">
        <f>IF($A964&gt;MIN($A$10,$A$2),"",IF($A$5="","Choose stock",IF(NOT($A$12),"Check split rule",IF(NOT(ISNUMBER(B964)),"Invalid date",IF(OR(B964&lt;=0,B964&lt;&gt;INT(B964)),"Invalid date",IF(COUNTIFS(DemoHistory[Date],B964)&lt;&gt;1,"Duplicate date",IF(AND($A964&gt;1,B964&lt;=B963),"Dates out of order",IF(NOT(ISNUMBER(C964)),"Missing price",IF(C964&lt;=0,"Nonpositive price","OK")))))))))</f>
        <v/>
      </c>
      <c r="I964" s="136"/>
      <c r="J964" s="136"/>
      <c r="K964" s="136"/>
      <c r="L964" s="136"/>
      <c r="M964" s="136"/>
      <c r="N964" s="136" t="e">
        <f t="shared" si="43"/>
        <v>#N/A</v>
      </c>
      <c r="O964" s="136" t="e">
        <f t="shared" si="44"/>
        <v>#N/A</v>
      </c>
    </row>
    <row r="965" spans="1:15" ht="22.05" customHeight="1" x14ac:dyDescent="0.3">
      <c r="A965" s="136">
        <v>921</v>
      </c>
      <c r="B965" s="165" t="str">
        <f>IF($A965&gt;MIN($A$10,$A$2),"",INDEX(DemoHistory[Date],$A965))</f>
        <v/>
      </c>
      <c r="C965" s="166" t="str">
        <f>IF(OR($A965&gt;MIN($A$10,$A$2),$A$5=""),"",INDEX(DemoHistory[],$A965,MATCH($A$5,DemoHistory[#Headers],0)))</f>
        <v/>
      </c>
      <c r="D965" s="166" t="str">
        <f>IF($A965&gt;MIN($A$10,$A$2),"",IF(AND($A$12,$A$6=1,B965&lt;$A$7,$A$7&lt;=MAX(DemoHistory[Date])),$A$8,1))</f>
        <v/>
      </c>
      <c r="E965" s="166" t="str">
        <f t="shared" si="42"/>
        <v/>
      </c>
      <c r="F965" s="166" t="str">
        <f>IF($A965&gt;MIN($A$10,$A$2),"",IF($A965&lt;50,"n.a.",IF(COUNT(INDEX(StockDaily[Adjusted close],MAX(1,$A965-50+1)):E965)=50,AVERAGE(INDEX(StockDaily[Adjusted close],MAX(1,$A965-50+1)):E965),"n.a.")))</f>
        <v/>
      </c>
      <c r="G965" s="166" t="str">
        <f>IF($A965&gt;MIN($A$10,$A$2),"",IF($A965&lt;200,"n.a.",IF(COUNT(INDEX(StockDaily[Adjusted close],MAX(1,$A965-200+1)):E965)=200,AVERAGE(INDEX(StockDaily[Adjusted close],MAX(1,$A965-200+1)):E965),"n.a.")))</f>
        <v/>
      </c>
      <c r="H965" s="136" t="str">
        <f>IF($A965&gt;MIN($A$10,$A$2),"",IF($A$5="","Choose stock",IF(NOT($A$12),"Check split rule",IF(NOT(ISNUMBER(B965)),"Invalid date",IF(OR(B965&lt;=0,B965&lt;&gt;INT(B965)),"Invalid date",IF(COUNTIFS(DemoHistory[Date],B965)&lt;&gt;1,"Duplicate date",IF(AND($A965&gt;1,B965&lt;=B964),"Dates out of order",IF(NOT(ISNUMBER(C965)),"Missing price",IF(C965&lt;=0,"Nonpositive price","OK")))))))))</f>
        <v/>
      </c>
      <c r="I965" s="136"/>
      <c r="J965" s="136"/>
      <c r="K965" s="136"/>
      <c r="L965" s="136"/>
      <c r="M965" s="136"/>
      <c r="N965" s="136" t="e">
        <f t="shared" si="43"/>
        <v>#N/A</v>
      </c>
      <c r="O965" s="136" t="e">
        <f t="shared" si="44"/>
        <v>#N/A</v>
      </c>
    </row>
    <row r="966" spans="1:15" ht="22.05" customHeight="1" x14ac:dyDescent="0.3">
      <c r="A966" s="136">
        <v>922</v>
      </c>
      <c r="B966" s="165" t="str">
        <f>IF($A966&gt;MIN($A$10,$A$2),"",INDEX(DemoHistory[Date],$A966))</f>
        <v/>
      </c>
      <c r="C966" s="166" t="str">
        <f>IF(OR($A966&gt;MIN($A$10,$A$2),$A$5=""),"",INDEX(DemoHistory[],$A966,MATCH($A$5,DemoHistory[#Headers],0)))</f>
        <v/>
      </c>
      <c r="D966" s="166" t="str">
        <f>IF($A966&gt;MIN($A$10,$A$2),"",IF(AND($A$12,$A$6=1,B966&lt;$A$7,$A$7&lt;=MAX(DemoHistory[Date])),$A$8,1))</f>
        <v/>
      </c>
      <c r="E966" s="166" t="str">
        <f t="shared" si="42"/>
        <v/>
      </c>
      <c r="F966" s="166" t="str">
        <f>IF($A966&gt;MIN($A$10,$A$2),"",IF($A966&lt;50,"n.a.",IF(COUNT(INDEX(StockDaily[Adjusted close],MAX(1,$A966-50+1)):E966)=50,AVERAGE(INDEX(StockDaily[Adjusted close],MAX(1,$A966-50+1)):E966),"n.a.")))</f>
        <v/>
      </c>
      <c r="G966" s="166" t="str">
        <f>IF($A966&gt;MIN($A$10,$A$2),"",IF($A966&lt;200,"n.a.",IF(COUNT(INDEX(StockDaily[Adjusted close],MAX(1,$A966-200+1)):E966)=200,AVERAGE(INDEX(StockDaily[Adjusted close],MAX(1,$A966-200+1)):E966),"n.a.")))</f>
        <v/>
      </c>
      <c r="H966" s="136" t="str">
        <f>IF($A966&gt;MIN($A$10,$A$2),"",IF($A$5="","Choose stock",IF(NOT($A$12),"Check split rule",IF(NOT(ISNUMBER(B966)),"Invalid date",IF(OR(B966&lt;=0,B966&lt;&gt;INT(B966)),"Invalid date",IF(COUNTIFS(DemoHistory[Date],B966)&lt;&gt;1,"Duplicate date",IF(AND($A966&gt;1,B966&lt;=B965),"Dates out of order",IF(NOT(ISNUMBER(C966)),"Missing price",IF(C966&lt;=0,"Nonpositive price","OK")))))))))</f>
        <v/>
      </c>
      <c r="I966" s="136"/>
      <c r="J966" s="136"/>
      <c r="K966" s="136"/>
      <c r="L966" s="136"/>
      <c r="M966" s="136"/>
      <c r="N966" s="136" t="e">
        <f t="shared" si="43"/>
        <v>#N/A</v>
      </c>
      <c r="O966" s="136" t="e">
        <f t="shared" si="44"/>
        <v>#N/A</v>
      </c>
    </row>
    <row r="967" spans="1:15" ht="22.05" customHeight="1" x14ac:dyDescent="0.3">
      <c r="A967" s="136">
        <v>923</v>
      </c>
      <c r="B967" s="165" t="str">
        <f>IF($A967&gt;MIN($A$10,$A$2),"",INDEX(DemoHistory[Date],$A967))</f>
        <v/>
      </c>
      <c r="C967" s="166" t="str">
        <f>IF(OR($A967&gt;MIN($A$10,$A$2),$A$5=""),"",INDEX(DemoHistory[],$A967,MATCH($A$5,DemoHistory[#Headers],0)))</f>
        <v/>
      </c>
      <c r="D967" s="166" t="str">
        <f>IF($A967&gt;MIN($A$10,$A$2),"",IF(AND($A$12,$A$6=1,B967&lt;$A$7,$A$7&lt;=MAX(DemoHistory[Date])),$A$8,1))</f>
        <v/>
      </c>
      <c r="E967" s="166" t="str">
        <f t="shared" si="42"/>
        <v/>
      </c>
      <c r="F967" s="166" t="str">
        <f>IF($A967&gt;MIN($A$10,$A$2),"",IF($A967&lt;50,"n.a.",IF(COUNT(INDEX(StockDaily[Adjusted close],MAX(1,$A967-50+1)):E967)=50,AVERAGE(INDEX(StockDaily[Adjusted close],MAX(1,$A967-50+1)):E967),"n.a.")))</f>
        <v/>
      </c>
      <c r="G967" s="166" t="str">
        <f>IF($A967&gt;MIN($A$10,$A$2),"",IF($A967&lt;200,"n.a.",IF(COUNT(INDEX(StockDaily[Adjusted close],MAX(1,$A967-200+1)):E967)=200,AVERAGE(INDEX(StockDaily[Adjusted close],MAX(1,$A967-200+1)):E967),"n.a.")))</f>
        <v/>
      </c>
      <c r="H967" s="136" t="str">
        <f>IF($A967&gt;MIN($A$10,$A$2),"",IF($A$5="","Choose stock",IF(NOT($A$12),"Check split rule",IF(NOT(ISNUMBER(B967)),"Invalid date",IF(OR(B967&lt;=0,B967&lt;&gt;INT(B967)),"Invalid date",IF(COUNTIFS(DemoHistory[Date],B967)&lt;&gt;1,"Duplicate date",IF(AND($A967&gt;1,B967&lt;=B966),"Dates out of order",IF(NOT(ISNUMBER(C967)),"Missing price",IF(C967&lt;=0,"Nonpositive price","OK")))))))))</f>
        <v/>
      </c>
      <c r="I967" s="136"/>
      <c r="J967" s="136"/>
      <c r="K967" s="136"/>
      <c r="L967" s="136"/>
      <c r="M967" s="136"/>
      <c r="N967" s="136" t="e">
        <f t="shared" si="43"/>
        <v>#N/A</v>
      </c>
      <c r="O967" s="136" t="e">
        <f t="shared" si="44"/>
        <v>#N/A</v>
      </c>
    </row>
    <row r="968" spans="1:15" ht="22.05" customHeight="1" x14ac:dyDescent="0.3">
      <c r="A968" s="136">
        <v>924</v>
      </c>
      <c r="B968" s="165" t="str">
        <f>IF($A968&gt;MIN($A$10,$A$2),"",INDEX(DemoHistory[Date],$A968))</f>
        <v/>
      </c>
      <c r="C968" s="166" t="str">
        <f>IF(OR($A968&gt;MIN($A$10,$A$2),$A$5=""),"",INDEX(DemoHistory[],$A968,MATCH($A$5,DemoHistory[#Headers],0)))</f>
        <v/>
      </c>
      <c r="D968" s="166" t="str">
        <f>IF($A968&gt;MIN($A$10,$A$2),"",IF(AND($A$12,$A$6=1,B968&lt;$A$7,$A$7&lt;=MAX(DemoHistory[Date])),$A$8,1))</f>
        <v/>
      </c>
      <c r="E968" s="166" t="str">
        <f t="shared" si="42"/>
        <v/>
      </c>
      <c r="F968" s="166" t="str">
        <f>IF($A968&gt;MIN($A$10,$A$2),"",IF($A968&lt;50,"n.a.",IF(COUNT(INDEX(StockDaily[Adjusted close],MAX(1,$A968-50+1)):E968)=50,AVERAGE(INDEX(StockDaily[Adjusted close],MAX(1,$A968-50+1)):E968),"n.a.")))</f>
        <v/>
      </c>
      <c r="G968" s="166" t="str">
        <f>IF($A968&gt;MIN($A$10,$A$2),"",IF($A968&lt;200,"n.a.",IF(COUNT(INDEX(StockDaily[Adjusted close],MAX(1,$A968-200+1)):E968)=200,AVERAGE(INDEX(StockDaily[Adjusted close],MAX(1,$A968-200+1)):E968),"n.a.")))</f>
        <v/>
      </c>
      <c r="H968" s="136" t="str">
        <f>IF($A968&gt;MIN($A$10,$A$2),"",IF($A$5="","Choose stock",IF(NOT($A$12),"Check split rule",IF(NOT(ISNUMBER(B968)),"Invalid date",IF(OR(B968&lt;=0,B968&lt;&gt;INT(B968)),"Invalid date",IF(COUNTIFS(DemoHistory[Date],B968)&lt;&gt;1,"Duplicate date",IF(AND($A968&gt;1,B968&lt;=B967),"Dates out of order",IF(NOT(ISNUMBER(C968)),"Missing price",IF(C968&lt;=0,"Nonpositive price","OK")))))))))</f>
        <v/>
      </c>
      <c r="I968" s="136"/>
      <c r="J968" s="136"/>
      <c r="K968" s="136"/>
      <c r="L968" s="136"/>
      <c r="M968" s="136"/>
      <c r="N968" s="136" t="e">
        <f t="shared" si="43"/>
        <v>#N/A</v>
      </c>
      <c r="O968" s="136" t="e">
        <f t="shared" si="44"/>
        <v>#N/A</v>
      </c>
    </row>
    <row r="969" spans="1:15" ht="22.05" customHeight="1" x14ac:dyDescent="0.3">
      <c r="A969" s="136">
        <v>925</v>
      </c>
      <c r="B969" s="165" t="str">
        <f>IF($A969&gt;MIN($A$10,$A$2),"",INDEX(DemoHistory[Date],$A969))</f>
        <v/>
      </c>
      <c r="C969" s="166" t="str">
        <f>IF(OR($A969&gt;MIN($A$10,$A$2),$A$5=""),"",INDEX(DemoHistory[],$A969,MATCH($A$5,DemoHistory[#Headers],0)))</f>
        <v/>
      </c>
      <c r="D969" s="166" t="str">
        <f>IF($A969&gt;MIN($A$10,$A$2),"",IF(AND($A$12,$A$6=1,B969&lt;$A$7,$A$7&lt;=MAX(DemoHistory[Date])),$A$8,1))</f>
        <v/>
      </c>
      <c r="E969" s="166" t="str">
        <f t="shared" si="42"/>
        <v/>
      </c>
      <c r="F969" s="166" t="str">
        <f>IF($A969&gt;MIN($A$10,$A$2),"",IF($A969&lt;50,"n.a.",IF(COUNT(INDEX(StockDaily[Adjusted close],MAX(1,$A969-50+1)):E969)=50,AVERAGE(INDEX(StockDaily[Adjusted close],MAX(1,$A969-50+1)):E969),"n.a.")))</f>
        <v/>
      </c>
      <c r="G969" s="166" t="str">
        <f>IF($A969&gt;MIN($A$10,$A$2),"",IF($A969&lt;200,"n.a.",IF(COUNT(INDEX(StockDaily[Adjusted close],MAX(1,$A969-200+1)):E969)=200,AVERAGE(INDEX(StockDaily[Adjusted close],MAX(1,$A969-200+1)):E969),"n.a.")))</f>
        <v/>
      </c>
      <c r="H969" s="136" t="str">
        <f>IF($A969&gt;MIN($A$10,$A$2),"",IF($A$5="","Choose stock",IF(NOT($A$12),"Check split rule",IF(NOT(ISNUMBER(B969)),"Invalid date",IF(OR(B969&lt;=0,B969&lt;&gt;INT(B969)),"Invalid date",IF(COUNTIFS(DemoHistory[Date],B969)&lt;&gt;1,"Duplicate date",IF(AND($A969&gt;1,B969&lt;=B968),"Dates out of order",IF(NOT(ISNUMBER(C969)),"Missing price",IF(C969&lt;=0,"Nonpositive price","OK")))))))))</f>
        <v/>
      </c>
      <c r="I969" s="136"/>
      <c r="J969" s="136"/>
      <c r="K969" s="136"/>
      <c r="L969" s="136"/>
      <c r="M969" s="136"/>
      <c r="N969" s="136" t="e">
        <f t="shared" si="43"/>
        <v>#N/A</v>
      </c>
      <c r="O969" s="136" t="e">
        <f t="shared" si="44"/>
        <v>#N/A</v>
      </c>
    </row>
    <row r="970" spans="1:15" ht="22.05" customHeight="1" x14ac:dyDescent="0.3">
      <c r="A970" s="136">
        <v>926</v>
      </c>
      <c r="B970" s="165" t="str">
        <f>IF($A970&gt;MIN($A$10,$A$2),"",INDEX(DemoHistory[Date],$A970))</f>
        <v/>
      </c>
      <c r="C970" s="166" t="str">
        <f>IF(OR($A970&gt;MIN($A$10,$A$2),$A$5=""),"",INDEX(DemoHistory[],$A970,MATCH($A$5,DemoHistory[#Headers],0)))</f>
        <v/>
      </c>
      <c r="D970" s="166" t="str">
        <f>IF($A970&gt;MIN($A$10,$A$2),"",IF(AND($A$12,$A$6=1,B970&lt;$A$7,$A$7&lt;=MAX(DemoHistory[Date])),$A$8,1))</f>
        <v/>
      </c>
      <c r="E970" s="166" t="str">
        <f t="shared" si="42"/>
        <v/>
      </c>
      <c r="F970" s="166" t="str">
        <f>IF($A970&gt;MIN($A$10,$A$2),"",IF($A970&lt;50,"n.a.",IF(COUNT(INDEX(StockDaily[Adjusted close],MAX(1,$A970-50+1)):E970)=50,AVERAGE(INDEX(StockDaily[Adjusted close],MAX(1,$A970-50+1)):E970),"n.a.")))</f>
        <v/>
      </c>
      <c r="G970" s="166" t="str">
        <f>IF($A970&gt;MIN($A$10,$A$2),"",IF($A970&lt;200,"n.a.",IF(COUNT(INDEX(StockDaily[Adjusted close],MAX(1,$A970-200+1)):E970)=200,AVERAGE(INDEX(StockDaily[Adjusted close],MAX(1,$A970-200+1)):E970),"n.a.")))</f>
        <v/>
      </c>
      <c r="H970" s="136" t="str">
        <f>IF($A970&gt;MIN($A$10,$A$2),"",IF($A$5="","Choose stock",IF(NOT($A$12),"Check split rule",IF(NOT(ISNUMBER(B970)),"Invalid date",IF(OR(B970&lt;=0,B970&lt;&gt;INT(B970)),"Invalid date",IF(COUNTIFS(DemoHistory[Date],B970)&lt;&gt;1,"Duplicate date",IF(AND($A970&gt;1,B970&lt;=B969),"Dates out of order",IF(NOT(ISNUMBER(C970)),"Missing price",IF(C970&lt;=0,"Nonpositive price","OK")))))))))</f>
        <v/>
      </c>
      <c r="I970" s="136"/>
      <c r="J970" s="136"/>
      <c r="K970" s="136"/>
      <c r="L970" s="136"/>
      <c r="M970" s="136"/>
      <c r="N970" s="136" t="e">
        <f t="shared" si="43"/>
        <v>#N/A</v>
      </c>
      <c r="O970" s="136" t="e">
        <f t="shared" si="44"/>
        <v>#N/A</v>
      </c>
    </row>
    <row r="971" spans="1:15" ht="22.05" customHeight="1" x14ac:dyDescent="0.3">
      <c r="A971" s="136">
        <v>927</v>
      </c>
      <c r="B971" s="165" t="str">
        <f>IF($A971&gt;MIN($A$10,$A$2),"",INDEX(DemoHistory[Date],$A971))</f>
        <v/>
      </c>
      <c r="C971" s="166" t="str">
        <f>IF(OR($A971&gt;MIN($A$10,$A$2),$A$5=""),"",INDEX(DemoHistory[],$A971,MATCH($A$5,DemoHistory[#Headers],0)))</f>
        <v/>
      </c>
      <c r="D971" s="166" t="str">
        <f>IF($A971&gt;MIN($A$10,$A$2),"",IF(AND($A$12,$A$6=1,B971&lt;$A$7,$A$7&lt;=MAX(DemoHistory[Date])),$A$8,1))</f>
        <v/>
      </c>
      <c r="E971" s="166" t="str">
        <f t="shared" si="42"/>
        <v/>
      </c>
      <c r="F971" s="166" t="str">
        <f>IF($A971&gt;MIN($A$10,$A$2),"",IF($A971&lt;50,"n.a.",IF(COUNT(INDEX(StockDaily[Adjusted close],MAX(1,$A971-50+1)):E971)=50,AVERAGE(INDEX(StockDaily[Adjusted close],MAX(1,$A971-50+1)):E971),"n.a.")))</f>
        <v/>
      </c>
      <c r="G971" s="166" t="str">
        <f>IF($A971&gt;MIN($A$10,$A$2),"",IF($A971&lt;200,"n.a.",IF(COUNT(INDEX(StockDaily[Adjusted close],MAX(1,$A971-200+1)):E971)=200,AVERAGE(INDEX(StockDaily[Adjusted close],MAX(1,$A971-200+1)):E971),"n.a.")))</f>
        <v/>
      </c>
      <c r="H971" s="136" t="str">
        <f>IF($A971&gt;MIN($A$10,$A$2),"",IF($A$5="","Choose stock",IF(NOT($A$12),"Check split rule",IF(NOT(ISNUMBER(B971)),"Invalid date",IF(OR(B971&lt;=0,B971&lt;&gt;INT(B971)),"Invalid date",IF(COUNTIFS(DemoHistory[Date],B971)&lt;&gt;1,"Duplicate date",IF(AND($A971&gt;1,B971&lt;=B970),"Dates out of order",IF(NOT(ISNUMBER(C971)),"Missing price",IF(C971&lt;=0,"Nonpositive price","OK")))))))))</f>
        <v/>
      </c>
      <c r="I971" s="136"/>
      <c r="J971" s="136"/>
      <c r="K971" s="136"/>
      <c r="L971" s="136"/>
      <c r="M971" s="136"/>
      <c r="N971" s="136" t="e">
        <f t="shared" si="43"/>
        <v>#N/A</v>
      </c>
      <c r="O971" s="136" t="e">
        <f t="shared" si="44"/>
        <v>#N/A</v>
      </c>
    </row>
    <row r="972" spans="1:15" ht="22.05" customHeight="1" x14ac:dyDescent="0.3">
      <c r="A972" s="136">
        <v>928</v>
      </c>
      <c r="B972" s="165" t="str">
        <f>IF($A972&gt;MIN($A$10,$A$2),"",INDEX(DemoHistory[Date],$A972))</f>
        <v/>
      </c>
      <c r="C972" s="166" t="str">
        <f>IF(OR($A972&gt;MIN($A$10,$A$2),$A$5=""),"",INDEX(DemoHistory[],$A972,MATCH($A$5,DemoHistory[#Headers],0)))</f>
        <v/>
      </c>
      <c r="D972" s="166" t="str">
        <f>IF($A972&gt;MIN($A$10,$A$2),"",IF(AND($A$12,$A$6=1,B972&lt;$A$7,$A$7&lt;=MAX(DemoHistory[Date])),$A$8,1))</f>
        <v/>
      </c>
      <c r="E972" s="166" t="str">
        <f t="shared" si="42"/>
        <v/>
      </c>
      <c r="F972" s="166" t="str">
        <f>IF($A972&gt;MIN($A$10,$A$2),"",IF($A972&lt;50,"n.a.",IF(COUNT(INDEX(StockDaily[Adjusted close],MAX(1,$A972-50+1)):E972)=50,AVERAGE(INDEX(StockDaily[Adjusted close],MAX(1,$A972-50+1)):E972),"n.a.")))</f>
        <v/>
      </c>
      <c r="G972" s="166" t="str">
        <f>IF($A972&gt;MIN($A$10,$A$2),"",IF($A972&lt;200,"n.a.",IF(COUNT(INDEX(StockDaily[Adjusted close],MAX(1,$A972-200+1)):E972)=200,AVERAGE(INDEX(StockDaily[Adjusted close],MAX(1,$A972-200+1)):E972),"n.a.")))</f>
        <v/>
      </c>
      <c r="H972" s="136" t="str">
        <f>IF($A972&gt;MIN($A$10,$A$2),"",IF($A$5="","Choose stock",IF(NOT($A$12),"Check split rule",IF(NOT(ISNUMBER(B972)),"Invalid date",IF(OR(B972&lt;=0,B972&lt;&gt;INT(B972)),"Invalid date",IF(COUNTIFS(DemoHistory[Date],B972)&lt;&gt;1,"Duplicate date",IF(AND($A972&gt;1,B972&lt;=B971),"Dates out of order",IF(NOT(ISNUMBER(C972)),"Missing price",IF(C972&lt;=0,"Nonpositive price","OK")))))))))</f>
        <v/>
      </c>
      <c r="I972" s="136"/>
      <c r="J972" s="136"/>
      <c r="K972" s="136"/>
      <c r="L972" s="136"/>
      <c r="M972" s="136"/>
      <c r="N972" s="136" t="e">
        <f t="shared" si="43"/>
        <v>#N/A</v>
      </c>
      <c r="O972" s="136" t="e">
        <f t="shared" si="44"/>
        <v>#N/A</v>
      </c>
    </row>
    <row r="973" spans="1:15" ht="22.05" customHeight="1" x14ac:dyDescent="0.3">
      <c r="A973" s="136">
        <v>929</v>
      </c>
      <c r="B973" s="165" t="str">
        <f>IF($A973&gt;MIN($A$10,$A$2),"",INDEX(DemoHistory[Date],$A973))</f>
        <v/>
      </c>
      <c r="C973" s="166" t="str">
        <f>IF(OR($A973&gt;MIN($A$10,$A$2),$A$5=""),"",INDEX(DemoHistory[],$A973,MATCH($A$5,DemoHistory[#Headers],0)))</f>
        <v/>
      </c>
      <c r="D973" s="166" t="str">
        <f>IF($A973&gt;MIN($A$10,$A$2),"",IF(AND($A$12,$A$6=1,B973&lt;$A$7,$A$7&lt;=MAX(DemoHistory[Date])),$A$8,1))</f>
        <v/>
      </c>
      <c r="E973" s="166" t="str">
        <f t="shared" si="42"/>
        <v/>
      </c>
      <c r="F973" s="166" t="str">
        <f>IF($A973&gt;MIN($A$10,$A$2),"",IF($A973&lt;50,"n.a.",IF(COUNT(INDEX(StockDaily[Adjusted close],MAX(1,$A973-50+1)):E973)=50,AVERAGE(INDEX(StockDaily[Adjusted close],MAX(1,$A973-50+1)):E973),"n.a.")))</f>
        <v/>
      </c>
      <c r="G973" s="166" t="str">
        <f>IF($A973&gt;MIN($A$10,$A$2),"",IF($A973&lt;200,"n.a.",IF(COUNT(INDEX(StockDaily[Adjusted close],MAX(1,$A973-200+1)):E973)=200,AVERAGE(INDEX(StockDaily[Adjusted close],MAX(1,$A973-200+1)):E973),"n.a.")))</f>
        <v/>
      </c>
      <c r="H973" s="136" t="str">
        <f>IF($A973&gt;MIN($A$10,$A$2),"",IF($A$5="","Choose stock",IF(NOT($A$12),"Check split rule",IF(NOT(ISNUMBER(B973)),"Invalid date",IF(OR(B973&lt;=0,B973&lt;&gt;INT(B973)),"Invalid date",IF(COUNTIFS(DemoHistory[Date],B973)&lt;&gt;1,"Duplicate date",IF(AND($A973&gt;1,B973&lt;=B972),"Dates out of order",IF(NOT(ISNUMBER(C973)),"Missing price",IF(C973&lt;=0,"Nonpositive price","OK")))))))))</f>
        <v/>
      </c>
      <c r="I973" s="136"/>
      <c r="J973" s="136"/>
      <c r="K973" s="136"/>
      <c r="L973" s="136"/>
      <c r="M973" s="136"/>
      <c r="N973" s="136" t="e">
        <f t="shared" si="43"/>
        <v>#N/A</v>
      </c>
      <c r="O973" s="136" t="e">
        <f t="shared" si="44"/>
        <v>#N/A</v>
      </c>
    </row>
    <row r="974" spans="1:15" ht="22.05" customHeight="1" x14ac:dyDescent="0.3">
      <c r="A974" s="136">
        <v>930</v>
      </c>
      <c r="B974" s="165" t="str">
        <f>IF($A974&gt;MIN($A$10,$A$2),"",INDEX(DemoHistory[Date],$A974))</f>
        <v/>
      </c>
      <c r="C974" s="166" t="str">
        <f>IF(OR($A974&gt;MIN($A$10,$A$2),$A$5=""),"",INDEX(DemoHistory[],$A974,MATCH($A$5,DemoHistory[#Headers],0)))</f>
        <v/>
      </c>
      <c r="D974" s="166" t="str">
        <f>IF($A974&gt;MIN($A$10,$A$2),"",IF(AND($A$12,$A$6=1,B974&lt;$A$7,$A$7&lt;=MAX(DemoHistory[Date])),$A$8,1))</f>
        <v/>
      </c>
      <c r="E974" s="166" t="str">
        <f t="shared" si="42"/>
        <v/>
      </c>
      <c r="F974" s="166" t="str">
        <f>IF($A974&gt;MIN($A$10,$A$2),"",IF($A974&lt;50,"n.a.",IF(COUNT(INDEX(StockDaily[Adjusted close],MAX(1,$A974-50+1)):E974)=50,AVERAGE(INDEX(StockDaily[Adjusted close],MAX(1,$A974-50+1)):E974),"n.a.")))</f>
        <v/>
      </c>
      <c r="G974" s="166" t="str">
        <f>IF($A974&gt;MIN($A$10,$A$2),"",IF($A974&lt;200,"n.a.",IF(COUNT(INDEX(StockDaily[Adjusted close],MAX(1,$A974-200+1)):E974)=200,AVERAGE(INDEX(StockDaily[Adjusted close],MAX(1,$A974-200+1)):E974),"n.a.")))</f>
        <v/>
      </c>
      <c r="H974" s="136" t="str">
        <f>IF($A974&gt;MIN($A$10,$A$2),"",IF($A$5="","Choose stock",IF(NOT($A$12),"Check split rule",IF(NOT(ISNUMBER(B974)),"Invalid date",IF(OR(B974&lt;=0,B974&lt;&gt;INT(B974)),"Invalid date",IF(COUNTIFS(DemoHistory[Date],B974)&lt;&gt;1,"Duplicate date",IF(AND($A974&gt;1,B974&lt;=B973),"Dates out of order",IF(NOT(ISNUMBER(C974)),"Missing price",IF(C974&lt;=0,"Nonpositive price","OK")))))))))</f>
        <v/>
      </c>
      <c r="I974" s="136"/>
      <c r="J974" s="136"/>
      <c r="K974" s="136"/>
      <c r="L974" s="136"/>
      <c r="M974" s="136"/>
      <c r="N974" s="136" t="e">
        <f t="shared" si="43"/>
        <v>#N/A</v>
      </c>
      <c r="O974" s="136" t="e">
        <f t="shared" si="44"/>
        <v>#N/A</v>
      </c>
    </row>
    <row r="975" spans="1:15" ht="22.05" customHeight="1" x14ac:dyDescent="0.3">
      <c r="A975" s="136">
        <v>931</v>
      </c>
      <c r="B975" s="165" t="str">
        <f>IF($A975&gt;MIN($A$10,$A$2),"",INDEX(DemoHistory[Date],$A975))</f>
        <v/>
      </c>
      <c r="C975" s="166" t="str">
        <f>IF(OR($A975&gt;MIN($A$10,$A$2),$A$5=""),"",INDEX(DemoHistory[],$A975,MATCH($A$5,DemoHistory[#Headers],0)))</f>
        <v/>
      </c>
      <c r="D975" s="166" t="str">
        <f>IF($A975&gt;MIN($A$10,$A$2),"",IF(AND($A$12,$A$6=1,B975&lt;$A$7,$A$7&lt;=MAX(DemoHistory[Date])),$A$8,1))</f>
        <v/>
      </c>
      <c r="E975" s="166" t="str">
        <f t="shared" si="42"/>
        <v/>
      </c>
      <c r="F975" s="166" t="str">
        <f>IF($A975&gt;MIN($A$10,$A$2),"",IF($A975&lt;50,"n.a.",IF(COUNT(INDEX(StockDaily[Adjusted close],MAX(1,$A975-50+1)):E975)=50,AVERAGE(INDEX(StockDaily[Adjusted close],MAX(1,$A975-50+1)):E975),"n.a.")))</f>
        <v/>
      </c>
      <c r="G975" s="166" t="str">
        <f>IF($A975&gt;MIN($A$10,$A$2),"",IF($A975&lt;200,"n.a.",IF(COUNT(INDEX(StockDaily[Adjusted close],MAX(1,$A975-200+1)):E975)=200,AVERAGE(INDEX(StockDaily[Adjusted close],MAX(1,$A975-200+1)):E975),"n.a.")))</f>
        <v/>
      </c>
      <c r="H975" s="136" t="str">
        <f>IF($A975&gt;MIN($A$10,$A$2),"",IF($A$5="","Choose stock",IF(NOT($A$12),"Check split rule",IF(NOT(ISNUMBER(B975)),"Invalid date",IF(OR(B975&lt;=0,B975&lt;&gt;INT(B975)),"Invalid date",IF(COUNTIFS(DemoHistory[Date],B975)&lt;&gt;1,"Duplicate date",IF(AND($A975&gt;1,B975&lt;=B974),"Dates out of order",IF(NOT(ISNUMBER(C975)),"Missing price",IF(C975&lt;=0,"Nonpositive price","OK")))))))))</f>
        <v/>
      </c>
      <c r="I975" s="136"/>
      <c r="J975" s="136"/>
      <c r="K975" s="136"/>
      <c r="L975" s="136"/>
      <c r="M975" s="136"/>
      <c r="N975" s="136" t="e">
        <f t="shared" si="43"/>
        <v>#N/A</v>
      </c>
      <c r="O975" s="136" t="e">
        <f t="shared" si="44"/>
        <v>#N/A</v>
      </c>
    </row>
    <row r="976" spans="1:15" ht="22.05" customHeight="1" x14ac:dyDescent="0.3">
      <c r="A976" s="136">
        <v>932</v>
      </c>
      <c r="B976" s="165" t="str">
        <f>IF($A976&gt;MIN($A$10,$A$2),"",INDEX(DemoHistory[Date],$A976))</f>
        <v/>
      </c>
      <c r="C976" s="166" t="str">
        <f>IF(OR($A976&gt;MIN($A$10,$A$2),$A$5=""),"",INDEX(DemoHistory[],$A976,MATCH($A$5,DemoHistory[#Headers],0)))</f>
        <v/>
      </c>
      <c r="D976" s="166" t="str">
        <f>IF($A976&gt;MIN($A$10,$A$2),"",IF(AND($A$12,$A$6=1,B976&lt;$A$7,$A$7&lt;=MAX(DemoHistory[Date])),$A$8,1))</f>
        <v/>
      </c>
      <c r="E976" s="166" t="str">
        <f t="shared" si="42"/>
        <v/>
      </c>
      <c r="F976" s="166" t="str">
        <f>IF($A976&gt;MIN($A$10,$A$2),"",IF($A976&lt;50,"n.a.",IF(COUNT(INDEX(StockDaily[Adjusted close],MAX(1,$A976-50+1)):E976)=50,AVERAGE(INDEX(StockDaily[Adjusted close],MAX(1,$A976-50+1)):E976),"n.a.")))</f>
        <v/>
      </c>
      <c r="G976" s="166" t="str">
        <f>IF($A976&gt;MIN($A$10,$A$2),"",IF($A976&lt;200,"n.a.",IF(COUNT(INDEX(StockDaily[Adjusted close],MAX(1,$A976-200+1)):E976)=200,AVERAGE(INDEX(StockDaily[Adjusted close],MAX(1,$A976-200+1)):E976),"n.a.")))</f>
        <v/>
      </c>
      <c r="H976" s="136" t="str">
        <f>IF($A976&gt;MIN($A$10,$A$2),"",IF($A$5="","Choose stock",IF(NOT($A$12),"Check split rule",IF(NOT(ISNUMBER(B976)),"Invalid date",IF(OR(B976&lt;=0,B976&lt;&gt;INT(B976)),"Invalid date",IF(COUNTIFS(DemoHistory[Date],B976)&lt;&gt;1,"Duplicate date",IF(AND($A976&gt;1,B976&lt;=B975),"Dates out of order",IF(NOT(ISNUMBER(C976)),"Missing price",IF(C976&lt;=0,"Nonpositive price","OK")))))))))</f>
        <v/>
      </c>
      <c r="I976" s="136"/>
      <c r="J976" s="136"/>
      <c r="K976" s="136"/>
      <c r="L976" s="136"/>
      <c r="M976" s="136"/>
      <c r="N976" s="136" t="e">
        <f t="shared" si="43"/>
        <v>#N/A</v>
      </c>
      <c r="O976" s="136" t="e">
        <f t="shared" si="44"/>
        <v>#N/A</v>
      </c>
    </row>
    <row r="977" spans="1:15" ht="22.05" customHeight="1" x14ac:dyDescent="0.3">
      <c r="A977" s="136">
        <v>933</v>
      </c>
      <c r="B977" s="165" t="str">
        <f>IF($A977&gt;MIN($A$10,$A$2),"",INDEX(DemoHistory[Date],$A977))</f>
        <v/>
      </c>
      <c r="C977" s="166" t="str">
        <f>IF(OR($A977&gt;MIN($A$10,$A$2),$A$5=""),"",INDEX(DemoHistory[],$A977,MATCH($A$5,DemoHistory[#Headers],0)))</f>
        <v/>
      </c>
      <c r="D977" s="166" t="str">
        <f>IF($A977&gt;MIN($A$10,$A$2),"",IF(AND($A$12,$A$6=1,B977&lt;$A$7,$A$7&lt;=MAX(DemoHistory[Date])),$A$8,1))</f>
        <v/>
      </c>
      <c r="E977" s="166" t="str">
        <f t="shared" si="42"/>
        <v/>
      </c>
      <c r="F977" s="166" t="str">
        <f>IF($A977&gt;MIN($A$10,$A$2),"",IF($A977&lt;50,"n.a.",IF(COUNT(INDEX(StockDaily[Adjusted close],MAX(1,$A977-50+1)):E977)=50,AVERAGE(INDEX(StockDaily[Adjusted close],MAX(1,$A977-50+1)):E977),"n.a.")))</f>
        <v/>
      </c>
      <c r="G977" s="166" t="str">
        <f>IF($A977&gt;MIN($A$10,$A$2),"",IF($A977&lt;200,"n.a.",IF(COUNT(INDEX(StockDaily[Adjusted close],MAX(1,$A977-200+1)):E977)=200,AVERAGE(INDEX(StockDaily[Adjusted close],MAX(1,$A977-200+1)):E977),"n.a.")))</f>
        <v/>
      </c>
      <c r="H977" s="136" t="str">
        <f>IF($A977&gt;MIN($A$10,$A$2),"",IF($A$5="","Choose stock",IF(NOT($A$12),"Check split rule",IF(NOT(ISNUMBER(B977)),"Invalid date",IF(OR(B977&lt;=0,B977&lt;&gt;INT(B977)),"Invalid date",IF(COUNTIFS(DemoHistory[Date],B977)&lt;&gt;1,"Duplicate date",IF(AND($A977&gt;1,B977&lt;=B976),"Dates out of order",IF(NOT(ISNUMBER(C977)),"Missing price",IF(C977&lt;=0,"Nonpositive price","OK")))))))))</f>
        <v/>
      </c>
      <c r="I977" s="136"/>
      <c r="J977" s="136"/>
      <c r="K977" s="136"/>
      <c r="L977" s="136"/>
      <c r="M977" s="136"/>
      <c r="N977" s="136" t="e">
        <f t="shared" si="43"/>
        <v>#N/A</v>
      </c>
      <c r="O977" s="136" t="e">
        <f t="shared" si="44"/>
        <v>#N/A</v>
      </c>
    </row>
    <row r="978" spans="1:15" ht="22.05" customHeight="1" x14ac:dyDescent="0.3">
      <c r="A978" s="136">
        <v>934</v>
      </c>
      <c r="B978" s="165" t="str">
        <f>IF($A978&gt;MIN($A$10,$A$2),"",INDEX(DemoHistory[Date],$A978))</f>
        <v/>
      </c>
      <c r="C978" s="166" t="str">
        <f>IF(OR($A978&gt;MIN($A$10,$A$2),$A$5=""),"",INDEX(DemoHistory[],$A978,MATCH($A$5,DemoHistory[#Headers],0)))</f>
        <v/>
      </c>
      <c r="D978" s="166" t="str">
        <f>IF($A978&gt;MIN($A$10,$A$2),"",IF(AND($A$12,$A$6=1,B978&lt;$A$7,$A$7&lt;=MAX(DemoHistory[Date])),$A$8,1))</f>
        <v/>
      </c>
      <c r="E978" s="166" t="str">
        <f t="shared" si="42"/>
        <v/>
      </c>
      <c r="F978" s="166" t="str">
        <f>IF($A978&gt;MIN($A$10,$A$2),"",IF($A978&lt;50,"n.a.",IF(COUNT(INDEX(StockDaily[Adjusted close],MAX(1,$A978-50+1)):E978)=50,AVERAGE(INDEX(StockDaily[Adjusted close],MAX(1,$A978-50+1)):E978),"n.a.")))</f>
        <v/>
      </c>
      <c r="G978" s="166" t="str">
        <f>IF($A978&gt;MIN($A$10,$A$2),"",IF($A978&lt;200,"n.a.",IF(COUNT(INDEX(StockDaily[Adjusted close],MAX(1,$A978-200+1)):E978)=200,AVERAGE(INDEX(StockDaily[Adjusted close],MAX(1,$A978-200+1)):E978),"n.a.")))</f>
        <v/>
      </c>
      <c r="H978" s="136" t="str">
        <f>IF($A978&gt;MIN($A$10,$A$2),"",IF($A$5="","Choose stock",IF(NOT($A$12),"Check split rule",IF(NOT(ISNUMBER(B978)),"Invalid date",IF(OR(B978&lt;=0,B978&lt;&gt;INT(B978)),"Invalid date",IF(COUNTIFS(DemoHistory[Date],B978)&lt;&gt;1,"Duplicate date",IF(AND($A978&gt;1,B978&lt;=B977),"Dates out of order",IF(NOT(ISNUMBER(C978)),"Missing price",IF(C978&lt;=0,"Nonpositive price","OK")))))))))</f>
        <v/>
      </c>
      <c r="I978" s="136"/>
      <c r="J978" s="136"/>
      <c r="K978" s="136"/>
      <c r="L978" s="136"/>
      <c r="M978" s="136"/>
      <c r="N978" s="136" t="e">
        <f t="shared" si="43"/>
        <v>#N/A</v>
      </c>
      <c r="O978" s="136" t="e">
        <f t="shared" si="44"/>
        <v>#N/A</v>
      </c>
    </row>
    <row r="979" spans="1:15" ht="22.05" customHeight="1" x14ac:dyDescent="0.3">
      <c r="A979" s="136">
        <v>935</v>
      </c>
      <c r="B979" s="165" t="str">
        <f>IF($A979&gt;MIN($A$10,$A$2),"",INDEX(DemoHistory[Date],$A979))</f>
        <v/>
      </c>
      <c r="C979" s="166" t="str">
        <f>IF(OR($A979&gt;MIN($A$10,$A$2),$A$5=""),"",INDEX(DemoHistory[],$A979,MATCH($A$5,DemoHistory[#Headers],0)))</f>
        <v/>
      </c>
      <c r="D979" s="166" t="str">
        <f>IF($A979&gt;MIN($A$10,$A$2),"",IF(AND($A$12,$A$6=1,B979&lt;$A$7,$A$7&lt;=MAX(DemoHistory[Date])),$A$8,1))</f>
        <v/>
      </c>
      <c r="E979" s="166" t="str">
        <f t="shared" si="42"/>
        <v/>
      </c>
      <c r="F979" s="166" t="str">
        <f>IF($A979&gt;MIN($A$10,$A$2),"",IF($A979&lt;50,"n.a.",IF(COUNT(INDEX(StockDaily[Adjusted close],MAX(1,$A979-50+1)):E979)=50,AVERAGE(INDEX(StockDaily[Adjusted close],MAX(1,$A979-50+1)):E979),"n.a.")))</f>
        <v/>
      </c>
      <c r="G979" s="166" t="str">
        <f>IF($A979&gt;MIN($A$10,$A$2),"",IF($A979&lt;200,"n.a.",IF(COUNT(INDEX(StockDaily[Adjusted close],MAX(1,$A979-200+1)):E979)=200,AVERAGE(INDEX(StockDaily[Adjusted close],MAX(1,$A979-200+1)):E979),"n.a.")))</f>
        <v/>
      </c>
      <c r="H979" s="136" t="str">
        <f>IF($A979&gt;MIN($A$10,$A$2),"",IF($A$5="","Choose stock",IF(NOT($A$12),"Check split rule",IF(NOT(ISNUMBER(B979)),"Invalid date",IF(OR(B979&lt;=0,B979&lt;&gt;INT(B979)),"Invalid date",IF(COUNTIFS(DemoHistory[Date],B979)&lt;&gt;1,"Duplicate date",IF(AND($A979&gt;1,B979&lt;=B978),"Dates out of order",IF(NOT(ISNUMBER(C979)),"Missing price",IF(C979&lt;=0,"Nonpositive price","OK")))))))))</f>
        <v/>
      </c>
      <c r="I979" s="136"/>
      <c r="J979" s="136"/>
      <c r="K979" s="136"/>
      <c r="L979" s="136"/>
      <c r="M979" s="136"/>
      <c r="N979" s="136" t="e">
        <f t="shared" si="43"/>
        <v>#N/A</v>
      </c>
      <c r="O979" s="136" t="e">
        <f t="shared" si="44"/>
        <v>#N/A</v>
      </c>
    </row>
    <row r="980" spans="1:15" ht="22.05" customHeight="1" x14ac:dyDescent="0.3">
      <c r="A980" s="136">
        <v>936</v>
      </c>
      <c r="B980" s="165" t="str">
        <f>IF($A980&gt;MIN($A$10,$A$2),"",INDEX(DemoHistory[Date],$A980))</f>
        <v/>
      </c>
      <c r="C980" s="166" t="str">
        <f>IF(OR($A980&gt;MIN($A$10,$A$2),$A$5=""),"",INDEX(DemoHistory[],$A980,MATCH($A$5,DemoHistory[#Headers],0)))</f>
        <v/>
      </c>
      <c r="D980" s="166" t="str">
        <f>IF($A980&gt;MIN($A$10,$A$2),"",IF(AND($A$12,$A$6=1,B980&lt;$A$7,$A$7&lt;=MAX(DemoHistory[Date])),$A$8,1))</f>
        <v/>
      </c>
      <c r="E980" s="166" t="str">
        <f t="shared" si="42"/>
        <v/>
      </c>
      <c r="F980" s="166" t="str">
        <f>IF($A980&gt;MIN($A$10,$A$2),"",IF($A980&lt;50,"n.a.",IF(COUNT(INDEX(StockDaily[Adjusted close],MAX(1,$A980-50+1)):E980)=50,AVERAGE(INDEX(StockDaily[Adjusted close],MAX(1,$A980-50+1)):E980),"n.a.")))</f>
        <v/>
      </c>
      <c r="G980" s="166" t="str">
        <f>IF($A980&gt;MIN($A$10,$A$2),"",IF($A980&lt;200,"n.a.",IF(COUNT(INDEX(StockDaily[Adjusted close],MAX(1,$A980-200+1)):E980)=200,AVERAGE(INDEX(StockDaily[Adjusted close],MAX(1,$A980-200+1)):E980),"n.a.")))</f>
        <v/>
      </c>
      <c r="H980" s="136" t="str">
        <f>IF($A980&gt;MIN($A$10,$A$2),"",IF($A$5="","Choose stock",IF(NOT($A$12),"Check split rule",IF(NOT(ISNUMBER(B980)),"Invalid date",IF(OR(B980&lt;=0,B980&lt;&gt;INT(B980)),"Invalid date",IF(COUNTIFS(DemoHistory[Date],B980)&lt;&gt;1,"Duplicate date",IF(AND($A980&gt;1,B980&lt;=B979),"Dates out of order",IF(NOT(ISNUMBER(C980)),"Missing price",IF(C980&lt;=0,"Nonpositive price","OK")))))))))</f>
        <v/>
      </c>
      <c r="I980" s="136"/>
      <c r="J980" s="136"/>
      <c r="K980" s="136"/>
      <c r="L980" s="136"/>
      <c r="M980" s="136"/>
      <c r="N980" s="136" t="e">
        <f t="shared" si="43"/>
        <v>#N/A</v>
      </c>
      <c r="O980" s="136" t="e">
        <f t="shared" si="44"/>
        <v>#N/A</v>
      </c>
    </row>
    <row r="981" spans="1:15" ht="22.05" customHeight="1" x14ac:dyDescent="0.3">
      <c r="A981" s="136">
        <v>937</v>
      </c>
      <c r="B981" s="165" t="str">
        <f>IF($A981&gt;MIN($A$10,$A$2),"",INDEX(DemoHistory[Date],$A981))</f>
        <v/>
      </c>
      <c r="C981" s="166" t="str">
        <f>IF(OR($A981&gt;MIN($A$10,$A$2),$A$5=""),"",INDEX(DemoHistory[],$A981,MATCH($A$5,DemoHistory[#Headers],0)))</f>
        <v/>
      </c>
      <c r="D981" s="166" t="str">
        <f>IF($A981&gt;MIN($A$10,$A$2),"",IF(AND($A$12,$A$6=1,B981&lt;$A$7,$A$7&lt;=MAX(DemoHistory[Date])),$A$8,1))</f>
        <v/>
      </c>
      <c r="E981" s="166" t="str">
        <f t="shared" si="42"/>
        <v/>
      </c>
      <c r="F981" s="166" t="str">
        <f>IF($A981&gt;MIN($A$10,$A$2),"",IF($A981&lt;50,"n.a.",IF(COUNT(INDEX(StockDaily[Adjusted close],MAX(1,$A981-50+1)):E981)=50,AVERAGE(INDEX(StockDaily[Adjusted close],MAX(1,$A981-50+1)):E981),"n.a.")))</f>
        <v/>
      </c>
      <c r="G981" s="166" t="str">
        <f>IF($A981&gt;MIN($A$10,$A$2),"",IF($A981&lt;200,"n.a.",IF(COUNT(INDEX(StockDaily[Adjusted close],MAX(1,$A981-200+1)):E981)=200,AVERAGE(INDEX(StockDaily[Adjusted close],MAX(1,$A981-200+1)):E981),"n.a.")))</f>
        <v/>
      </c>
      <c r="H981" s="136" t="str">
        <f>IF($A981&gt;MIN($A$10,$A$2),"",IF($A$5="","Choose stock",IF(NOT($A$12),"Check split rule",IF(NOT(ISNUMBER(B981)),"Invalid date",IF(OR(B981&lt;=0,B981&lt;&gt;INT(B981)),"Invalid date",IF(COUNTIFS(DemoHistory[Date],B981)&lt;&gt;1,"Duplicate date",IF(AND($A981&gt;1,B981&lt;=B980),"Dates out of order",IF(NOT(ISNUMBER(C981)),"Missing price",IF(C981&lt;=0,"Nonpositive price","OK")))))))))</f>
        <v/>
      </c>
      <c r="I981" s="136"/>
      <c r="J981" s="136"/>
      <c r="K981" s="136"/>
      <c r="L981" s="136"/>
      <c r="M981" s="136"/>
      <c r="N981" s="136" t="e">
        <f t="shared" si="43"/>
        <v>#N/A</v>
      </c>
      <c r="O981" s="136" t="e">
        <f t="shared" si="44"/>
        <v>#N/A</v>
      </c>
    </row>
    <row r="982" spans="1:15" ht="22.05" customHeight="1" x14ac:dyDescent="0.3">
      <c r="A982" s="136">
        <v>938</v>
      </c>
      <c r="B982" s="165" t="str">
        <f>IF($A982&gt;MIN($A$10,$A$2),"",INDEX(DemoHistory[Date],$A982))</f>
        <v/>
      </c>
      <c r="C982" s="166" t="str">
        <f>IF(OR($A982&gt;MIN($A$10,$A$2),$A$5=""),"",INDEX(DemoHistory[],$A982,MATCH($A$5,DemoHistory[#Headers],0)))</f>
        <v/>
      </c>
      <c r="D982" s="166" t="str">
        <f>IF($A982&gt;MIN($A$10,$A$2),"",IF(AND($A$12,$A$6=1,B982&lt;$A$7,$A$7&lt;=MAX(DemoHistory[Date])),$A$8,1))</f>
        <v/>
      </c>
      <c r="E982" s="166" t="str">
        <f t="shared" si="42"/>
        <v/>
      </c>
      <c r="F982" s="166" t="str">
        <f>IF($A982&gt;MIN($A$10,$A$2),"",IF($A982&lt;50,"n.a.",IF(COUNT(INDEX(StockDaily[Adjusted close],MAX(1,$A982-50+1)):E982)=50,AVERAGE(INDEX(StockDaily[Adjusted close],MAX(1,$A982-50+1)):E982),"n.a.")))</f>
        <v/>
      </c>
      <c r="G982" s="166" t="str">
        <f>IF($A982&gt;MIN($A$10,$A$2),"",IF($A982&lt;200,"n.a.",IF(COUNT(INDEX(StockDaily[Adjusted close],MAX(1,$A982-200+1)):E982)=200,AVERAGE(INDEX(StockDaily[Adjusted close],MAX(1,$A982-200+1)):E982),"n.a.")))</f>
        <v/>
      </c>
      <c r="H982" s="136" t="str">
        <f>IF($A982&gt;MIN($A$10,$A$2),"",IF($A$5="","Choose stock",IF(NOT($A$12),"Check split rule",IF(NOT(ISNUMBER(B982)),"Invalid date",IF(OR(B982&lt;=0,B982&lt;&gt;INT(B982)),"Invalid date",IF(COUNTIFS(DemoHistory[Date],B982)&lt;&gt;1,"Duplicate date",IF(AND($A982&gt;1,B982&lt;=B981),"Dates out of order",IF(NOT(ISNUMBER(C982)),"Missing price",IF(C982&lt;=0,"Nonpositive price","OK")))))))))</f>
        <v/>
      </c>
      <c r="I982" s="136"/>
      <c r="J982" s="136"/>
      <c r="K982" s="136"/>
      <c r="L982" s="136"/>
      <c r="M982" s="136"/>
      <c r="N982" s="136" t="e">
        <f t="shared" si="43"/>
        <v>#N/A</v>
      </c>
      <c r="O982" s="136" t="e">
        <f t="shared" si="44"/>
        <v>#N/A</v>
      </c>
    </row>
    <row r="983" spans="1:15" ht="22.05" customHeight="1" x14ac:dyDescent="0.3">
      <c r="A983" s="136">
        <v>939</v>
      </c>
      <c r="B983" s="165" t="str">
        <f>IF($A983&gt;MIN($A$10,$A$2),"",INDEX(DemoHistory[Date],$A983))</f>
        <v/>
      </c>
      <c r="C983" s="166" t="str">
        <f>IF(OR($A983&gt;MIN($A$10,$A$2),$A$5=""),"",INDEX(DemoHistory[],$A983,MATCH($A$5,DemoHistory[#Headers],0)))</f>
        <v/>
      </c>
      <c r="D983" s="166" t="str">
        <f>IF($A983&gt;MIN($A$10,$A$2),"",IF(AND($A$12,$A$6=1,B983&lt;$A$7,$A$7&lt;=MAX(DemoHistory[Date])),$A$8,1))</f>
        <v/>
      </c>
      <c r="E983" s="166" t="str">
        <f t="shared" si="42"/>
        <v/>
      </c>
      <c r="F983" s="166" t="str">
        <f>IF($A983&gt;MIN($A$10,$A$2),"",IF($A983&lt;50,"n.a.",IF(COUNT(INDEX(StockDaily[Adjusted close],MAX(1,$A983-50+1)):E983)=50,AVERAGE(INDEX(StockDaily[Adjusted close],MAX(1,$A983-50+1)):E983),"n.a.")))</f>
        <v/>
      </c>
      <c r="G983" s="166" t="str">
        <f>IF($A983&gt;MIN($A$10,$A$2),"",IF($A983&lt;200,"n.a.",IF(COUNT(INDEX(StockDaily[Adjusted close],MAX(1,$A983-200+1)):E983)=200,AVERAGE(INDEX(StockDaily[Adjusted close],MAX(1,$A983-200+1)):E983),"n.a.")))</f>
        <v/>
      </c>
      <c r="H983" s="136" t="str">
        <f>IF($A983&gt;MIN($A$10,$A$2),"",IF($A$5="","Choose stock",IF(NOT($A$12),"Check split rule",IF(NOT(ISNUMBER(B983)),"Invalid date",IF(OR(B983&lt;=0,B983&lt;&gt;INT(B983)),"Invalid date",IF(COUNTIFS(DemoHistory[Date],B983)&lt;&gt;1,"Duplicate date",IF(AND($A983&gt;1,B983&lt;=B982),"Dates out of order",IF(NOT(ISNUMBER(C983)),"Missing price",IF(C983&lt;=0,"Nonpositive price","OK")))))))))</f>
        <v/>
      </c>
      <c r="I983" s="136"/>
      <c r="J983" s="136"/>
      <c r="K983" s="136"/>
      <c r="L983" s="136"/>
      <c r="M983" s="136"/>
      <c r="N983" s="136" t="e">
        <f t="shared" si="43"/>
        <v>#N/A</v>
      </c>
      <c r="O983" s="136" t="e">
        <f t="shared" si="44"/>
        <v>#N/A</v>
      </c>
    </row>
    <row r="984" spans="1:15" ht="22.05" customHeight="1" x14ac:dyDescent="0.3">
      <c r="A984" s="136">
        <v>940</v>
      </c>
      <c r="B984" s="165" t="str">
        <f>IF($A984&gt;MIN($A$10,$A$2),"",INDEX(DemoHistory[Date],$A984))</f>
        <v/>
      </c>
      <c r="C984" s="166" t="str">
        <f>IF(OR($A984&gt;MIN($A$10,$A$2),$A$5=""),"",INDEX(DemoHistory[],$A984,MATCH($A$5,DemoHistory[#Headers],0)))</f>
        <v/>
      </c>
      <c r="D984" s="166" t="str">
        <f>IF($A984&gt;MIN($A$10,$A$2),"",IF(AND($A$12,$A$6=1,B984&lt;$A$7,$A$7&lt;=MAX(DemoHistory[Date])),$A$8,1))</f>
        <v/>
      </c>
      <c r="E984" s="166" t="str">
        <f t="shared" si="42"/>
        <v/>
      </c>
      <c r="F984" s="166" t="str">
        <f>IF($A984&gt;MIN($A$10,$A$2),"",IF($A984&lt;50,"n.a.",IF(COUNT(INDEX(StockDaily[Adjusted close],MAX(1,$A984-50+1)):E984)=50,AVERAGE(INDEX(StockDaily[Adjusted close],MAX(1,$A984-50+1)):E984),"n.a.")))</f>
        <v/>
      </c>
      <c r="G984" s="166" t="str">
        <f>IF($A984&gt;MIN($A$10,$A$2),"",IF($A984&lt;200,"n.a.",IF(COUNT(INDEX(StockDaily[Adjusted close],MAX(1,$A984-200+1)):E984)=200,AVERAGE(INDEX(StockDaily[Adjusted close],MAX(1,$A984-200+1)):E984),"n.a.")))</f>
        <v/>
      </c>
      <c r="H984" s="136" t="str">
        <f>IF($A984&gt;MIN($A$10,$A$2),"",IF($A$5="","Choose stock",IF(NOT($A$12),"Check split rule",IF(NOT(ISNUMBER(B984)),"Invalid date",IF(OR(B984&lt;=0,B984&lt;&gt;INT(B984)),"Invalid date",IF(COUNTIFS(DemoHistory[Date],B984)&lt;&gt;1,"Duplicate date",IF(AND($A984&gt;1,B984&lt;=B983),"Dates out of order",IF(NOT(ISNUMBER(C984)),"Missing price",IF(C984&lt;=0,"Nonpositive price","OK")))))))))</f>
        <v/>
      </c>
      <c r="I984" s="136"/>
      <c r="J984" s="136"/>
      <c r="K984" s="136"/>
      <c r="L984" s="136"/>
      <c r="M984" s="136"/>
      <c r="N984" s="136" t="e">
        <f t="shared" si="43"/>
        <v>#N/A</v>
      </c>
      <c r="O984" s="136" t="e">
        <f t="shared" si="44"/>
        <v>#N/A</v>
      </c>
    </row>
    <row r="985" spans="1:15" ht="22.05" customHeight="1" x14ac:dyDescent="0.3">
      <c r="A985" s="136">
        <v>941</v>
      </c>
      <c r="B985" s="165" t="str">
        <f>IF($A985&gt;MIN($A$10,$A$2),"",INDEX(DemoHistory[Date],$A985))</f>
        <v/>
      </c>
      <c r="C985" s="166" t="str">
        <f>IF(OR($A985&gt;MIN($A$10,$A$2),$A$5=""),"",INDEX(DemoHistory[],$A985,MATCH($A$5,DemoHistory[#Headers],0)))</f>
        <v/>
      </c>
      <c r="D985" s="166" t="str">
        <f>IF($A985&gt;MIN($A$10,$A$2),"",IF(AND($A$12,$A$6=1,B985&lt;$A$7,$A$7&lt;=MAX(DemoHistory[Date])),$A$8,1))</f>
        <v/>
      </c>
      <c r="E985" s="166" t="str">
        <f t="shared" si="42"/>
        <v/>
      </c>
      <c r="F985" s="166" t="str">
        <f>IF($A985&gt;MIN($A$10,$A$2),"",IF($A985&lt;50,"n.a.",IF(COUNT(INDEX(StockDaily[Adjusted close],MAX(1,$A985-50+1)):E985)=50,AVERAGE(INDEX(StockDaily[Adjusted close],MAX(1,$A985-50+1)):E985),"n.a.")))</f>
        <v/>
      </c>
      <c r="G985" s="166" t="str">
        <f>IF($A985&gt;MIN($A$10,$A$2),"",IF($A985&lt;200,"n.a.",IF(COUNT(INDEX(StockDaily[Adjusted close],MAX(1,$A985-200+1)):E985)=200,AVERAGE(INDEX(StockDaily[Adjusted close],MAX(1,$A985-200+1)):E985),"n.a.")))</f>
        <v/>
      </c>
      <c r="H985" s="136" t="str">
        <f>IF($A985&gt;MIN($A$10,$A$2),"",IF($A$5="","Choose stock",IF(NOT($A$12),"Check split rule",IF(NOT(ISNUMBER(B985)),"Invalid date",IF(OR(B985&lt;=0,B985&lt;&gt;INT(B985)),"Invalid date",IF(COUNTIFS(DemoHistory[Date],B985)&lt;&gt;1,"Duplicate date",IF(AND($A985&gt;1,B985&lt;=B984),"Dates out of order",IF(NOT(ISNUMBER(C985)),"Missing price",IF(C985&lt;=0,"Nonpositive price","OK")))))))))</f>
        <v/>
      </c>
      <c r="I985" s="136"/>
      <c r="J985" s="136"/>
      <c r="K985" s="136"/>
      <c r="L985" s="136"/>
      <c r="M985" s="136"/>
      <c r="N985" s="136" t="e">
        <f t="shared" si="43"/>
        <v>#N/A</v>
      </c>
      <c r="O985" s="136" t="e">
        <f t="shared" si="44"/>
        <v>#N/A</v>
      </c>
    </row>
    <row r="986" spans="1:15" ht="22.05" customHeight="1" x14ac:dyDescent="0.3">
      <c r="A986" s="136">
        <v>942</v>
      </c>
      <c r="B986" s="165" t="str">
        <f>IF($A986&gt;MIN($A$10,$A$2),"",INDEX(DemoHistory[Date],$A986))</f>
        <v/>
      </c>
      <c r="C986" s="166" t="str">
        <f>IF(OR($A986&gt;MIN($A$10,$A$2),$A$5=""),"",INDEX(DemoHistory[],$A986,MATCH($A$5,DemoHistory[#Headers],0)))</f>
        <v/>
      </c>
      <c r="D986" s="166" t="str">
        <f>IF($A986&gt;MIN($A$10,$A$2),"",IF(AND($A$12,$A$6=1,B986&lt;$A$7,$A$7&lt;=MAX(DemoHistory[Date])),$A$8,1))</f>
        <v/>
      </c>
      <c r="E986" s="166" t="str">
        <f t="shared" si="42"/>
        <v/>
      </c>
      <c r="F986" s="166" t="str">
        <f>IF($A986&gt;MIN($A$10,$A$2),"",IF($A986&lt;50,"n.a.",IF(COUNT(INDEX(StockDaily[Adjusted close],MAX(1,$A986-50+1)):E986)=50,AVERAGE(INDEX(StockDaily[Adjusted close],MAX(1,$A986-50+1)):E986),"n.a.")))</f>
        <v/>
      </c>
      <c r="G986" s="166" t="str">
        <f>IF($A986&gt;MIN($A$10,$A$2),"",IF($A986&lt;200,"n.a.",IF(COUNT(INDEX(StockDaily[Adjusted close],MAX(1,$A986-200+1)):E986)=200,AVERAGE(INDEX(StockDaily[Adjusted close],MAX(1,$A986-200+1)):E986),"n.a.")))</f>
        <v/>
      </c>
      <c r="H986" s="136" t="str">
        <f>IF($A986&gt;MIN($A$10,$A$2),"",IF($A$5="","Choose stock",IF(NOT($A$12),"Check split rule",IF(NOT(ISNUMBER(B986)),"Invalid date",IF(OR(B986&lt;=0,B986&lt;&gt;INT(B986)),"Invalid date",IF(COUNTIFS(DemoHistory[Date],B986)&lt;&gt;1,"Duplicate date",IF(AND($A986&gt;1,B986&lt;=B985),"Dates out of order",IF(NOT(ISNUMBER(C986)),"Missing price",IF(C986&lt;=0,"Nonpositive price","OK")))))))))</f>
        <v/>
      </c>
      <c r="I986" s="136"/>
      <c r="J986" s="136"/>
      <c r="K986" s="136"/>
      <c r="L986" s="136"/>
      <c r="M986" s="136"/>
      <c r="N986" s="136" t="e">
        <f t="shared" si="43"/>
        <v>#N/A</v>
      </c>
      <c r="O986" s="136" t="e">
        <f t="shared" si="44"/>
        <v>#N/A</v>
      </c>
    </row>
    <row r="987" spans="1:15" ht="22.05" customHeight="1" x14ac:dyDescent="0.3">
      <c r="A987" s="136">
        <v>943</v>
      </c>
      <c r="B987" s="165" t="str">
        <f>IF($A987&gt;MIN($A$10,$A$2),"",INDEX(DemoHistory[Date],$A987))</f>
        <v/>
      </c>
      <c r="C987" s="166" t="str">
        <f>IF(OR($A987&gt;MIN($A$10,$A$2),$A$5=""),"",INDEX(DemoHistory[],$A987,MATCH($A$5,DemoHistory[#Headers],0)))</f>
        <v/>
      </c>
      <c r="D987" s="166" t="str">
        <f>IF($A987&gt;MIN($A$10,$A$2),"",IF(AND($A$12,$A$6=1,B987&lt;$A$7,$A$7&lt;=MAX(DemoHistory[Date])),$A$8,1))</f>
        <v/>
      </c>
      <c r="E987" s="166" t="str">
        <f t="shared" si="42"/>
        <v/>
      </c>
      <c r="F987" s="166" t="str">
        <f>IF($A987&gt;MIN($A$10,$A$2),"",IF($A987&lt;50,"n.a.",IF(COUNT(INDEX(StockDaily[Adjusted close],MAX(1,$A987-50+1)):E987)=50,AVERAGE(INDEX(StockDaily[Adjusted close],MAX(1,$A987-50+1)):E987),"n.a.")))</f>
        <v/>
      </c>
      <c r="G987" s="166" t="str">
        <f>IF($A987&gt;MIN($A$10,$A$2),"",IF($A987&lt;200,"n.a.",IF(COUNT(INDEX(StockDaily[Adjusted close],MAX(1,$A987-200+1)):E987)=200,AVERAGE(INDEX(StockDaily[Adjusted close],MAX(1,$A987-200+1)):E987),"n.a.")))</f>
        <v/>
      </c>
      <c r="H987" s="136" t="str">
        <f>IF($A987&gt;MIN($A$10,$A$2),"",IF($A$5="","Choose stock",IF(NOT($A$12),"Check split rule",IF(NOT(ISNUMBER(B987)),"Invalid date",IF(OR(B987&lt;=0,B987&lt;&gt;INT(B987)),"Invalid date",IF(COUNTIFS(DemoHistory[Date],B987)&lt;&gt;1,"Duplicate date",IF(AND($A987&gt;1,B987&lt;=B986),"Dates out of order",IF(NOT(ISNUMBER(C987)),"Missing price",IF(C987&lt;=0,"Nonpositive price","OK")))))))))</f>
        <v/>
      </c>
      <c r="I987" s="136"/>
      <c r="J987" s="136"/>
      <c r="K987" s="136"/>
      <c r="L987" s="136"/>
      <c r="M987" s="136"/>
      <c r="N987" s="136" t="e">
        <f t="shared" si="43"/>
        <v>#N/A</v>
      </c>
      <c r="O987" s="136" t="e">
        <f t="shared" si="44"/>
        <v>#N/A</v>
      </c>
    </row>
    <row r="988" spans="1:15" ht="22.05" customHeight="1" x14ac:dyDescent="0.3">
      <c r="A988" s="136">
        <v>944</v>
      </c>
      <c r="B988" s="165" t="str">
        <f>IF($A988&gt;MIN($A$10,$A$2),"",INDEX(DemoHistory[Date],$A988))</f>
        <v/>
      </c>
      <c r="C988" s="166" t="str">
        <f>IF(OR($A988&gt;MIN($A$10,$A$2),$A$5=""),"",INDEX(DemoHistory[],$A988,MATCH($A$5,DemoHistory[#Headers],0)))</f>
        <v/>
      </c>
      <c r="D988" s="166" t="str">
        <f>IF($A988&gt;MIN($A$10,$A$2),"",IF(AND($A$12,$A$6=1,B988&lt;$A$7,$A$7&lt;=MAX(DemoHistory[Date])),$A$8,1))</f>
        <v/>
      </c>
      <c r="E988" s="166" t="str">
        <f t="shared" si="42"/>
        <v/>
      </c>
      <c r="F988" s="166" t="str">
        <f>IF($A988&gt;MIN($A$10,$A$2),"",IF($A988&lt;50,"n.a.",IF(COUNT(INDEX(StockDaily[Adjusted close],MAX(1,$A988-50+1)):E988)=50,AVERAGE(INDEX(StockDaily[Adjusted close],MAX(1,$A988-50+1)):E988),"n.a.")))</f>
        <v/>
      </c>
      <c r="G988" s="166" t="str">
        <f>IF($A988&gt;MIN($A$10,$A$2),"",IF($A988&lt;200,"n.a.",IF(COUNT(INDEX(StockDaily[Adjusted close],MAX(1,$A988-200+1)):E988)=200,AVERAGE(INDEX(StockDaily[Adjusted close],MAX(1,$A988-200+1)):E988),"n.a.")))</f>
        <v/>
      </c>
      <c r="H988" s="136" t="str">
        <f>IF($A988&gt;MIN($A$10,$A$2),"",IF($A$5="","Choose stock",IF(NOT($A$12),"Check split rule",IF(NOT(ISNUMBER(B988)),"Invalid date",IF(OR(B988&lt;=0,B988&lt;&gt;INT(B988)),"Invalid date",IF(COUNTIFS(DemoHistory[Date],B988)&lt;&gt;1,"Duplicate date",IF(AND($A988&gt;1,B988&lt;=B987),"Dates out of order",IF(NOT(ISNUMBER(C988)),"Missing price",IF(C988&lt;=0,"Nonpositive price","OK")))))))))</f>
        <v/>
      </c>
      <c r="I988" s="136"/>
      <c r="J988" s="136"/>
      <c r="K988" s="136"/>
      <c r="L988" s="136"/>
      <c r="M988" s="136"/>
      <c r="N988" s="136" t="e">
        <f t="shared" si="43"/>
        <v>#N/A</v>
      </c>
      <c r="O988" s="136" t="e">
        <f t="shared" si="44"/>
        <v>#N/A</v>
      </c>
    </row>
    <row r="989" spans="1:15" ht="22.05" customHeight="1" x14ac:dyDescent="0.3">
      <c r="A989" s="136">
        <v>945</v>
      </c>
      <c r="B989" s="165" t="str">
        <f>IF($A989&gt;MIN($A$10,$A$2),"",INDEX(DemoHistory[Date],$A989))</f>
        <v/>
      </c>
      <c r="C989" s="166" t="str">
        <f>IF(OR($A989&gt;MIN($A$10,$A$2),$A$5=""),"",INDEX(DemoHistory[],$A989,MATCH($A$5,DemoHistory[#Headers],0)))</f>
        <v/>
      </c>
      <c r="D989" s="166" t="str">
        <f>IF($A989&gt;MIN($A$10,$A$2),"",IF(AND($A$12,$A$6=1,B989&lt;$A$7,$A$7&lt;=MAX(DemoHistory[Date])),$A$8,1))</f>
        <v/>
      </c>
      <c r="E989" s="166" t="str">
        <f t="shared" si="42"/>
        <v/>
      </c>
      <c r="F989" s="166" t="str">
        <f>IF($A989&gt;MIN($A$10,$A$2),"",IF($A989&lt;50,"n.a.",IF(COUNT(INDEX(StockDaily[Adjusted close],MAX(1,$A989-50+1)):E989)=50,AVERAGE(INDEX(StockDaily[Adjusted close],MAX(1,$A989-50+1)):E989),"n.a.")))</f>
        <v/>
      </c>
      <c r="G989" s="166" t="str">
        <f>IF($A989&gt;MIN($A$10,$A$2),"",IF($A989&lt;200,"n.a.",IF(COUNT(INDEX(StockDaily[Adjusted close],MAX(1,$A989-200+1)):E989)=200,AVERAGE(INDEX(StockDaily[Adjusted close],MAX(1,$A989-200+1)):E989),"n.a.")))</f>
        <v/>
      </c>
      <c r="H989" s="136" t="str">
        <f>IF($A989&gt;MIN($A$10,$A$2),"",IF($A$5="","Choose stock",IF(NOT($A$12),"Check split rule",IF(NOT(ISNUMBER(B989)),"Invalid date",IF(OR(B989&lt;=0,B989&lt;&gt;INT(B989)),"Invalid date",IF(COUNTIFS(DemoHistory[Date],B989)&lt;&gt;1,"Duplicate date",IF(AND($A989&gt;1,B989&lt;=B988),"Dates out of order",IF(NOT(ISNUMBER(C989)),"Missing price",IF(C989&lt;=0,"Nonpositive price","OK")))))))))</f>
        <v/>
      </c>
      <c r="I989" s="136"/>
      <c r="J989" s="136"/>
      <c r="K989" s="136"/>
      <c r="L989" s="136"/>
      <c r="M989" s="136"/>
      <c r="N989" s="136" t="e">
        <f t="shared" si="43"/>
        <v>#N/A</v>
      </c>
      <c r="O989" s="136" t="e">
        <f t="shared" si="44"/>
        <v>#N/A</v>
      </c>
    </row>
    <row r="990" spans="1:15" ht="22.05" customHeight="1" x14ac:dyDescent="0.3">
      <c r="A990" s="136">
        <v>946</v>
      </c>
      <c r="B990" s="165" t="str">
        <f>IF($A990&gt;MIN($A$10,$A$2),"",INDEX(DemoHistory[Date],$A990))</f>
        <v/>
      </c>
      <c r="C990" s="166" t="str">
        <f>IF(OR($A990&gt;MIN($A$10,$A$2),$A$5=""),"",INDEX(DemoHistory[],$A990,MATCH($A$5,DemoHistory[#Headers],0)))</f>
        <v/>
      </c>
      <c r="D990" s="166" t="str">
        <f>IF($A990&gt;MIN($A$10,$A$2),"",IF(AND($A$12,$A$6=1,B990&lt;$A$7,$A$7&lt;=MAX(DemoHistory[Date])),$A$8,1))</f>
        <v/>
      </c>
      <c r="E990" s="166" t="str">
        <f t="shared" si="42"/>
        <v/>
      </c>
      <c r="F990" s="166" t="str">
        <f>IF($A990&gt;MIN($A$10,$A$2),"",IF($A990&lt;50,"n.a.",IF(COUNT(INDEX(StockDaily[Adjusted close],MAX(1,$A990-50+1)):E990)=50,AVERAGE(INDEX(StockDaily[Adjusted close],MAX(1,$A990-50+1)):E990),"n.a.")))</f>
        <v/>
      </c>
      <c r="G990" s="166" t="str">
        <f>IF($A990&gt;MIN($A$10,$A$2),"",IF($A990&lt;200,"n.a.",IF(COUNT(INDEX(StockDaily[Adjusted close],MAX(1,$A990-200+1)):E990)=200,AVERAGE(INDEX(StockDaily[Adjusted close],MAX(1,$A990-200+1)):E990),"n.a.")))</f>
        <v/>
      </c>
      <c r="H990" s="136" t="str">
        <f>IF($A990&gt;MIN($A$10,$A$2),"",IF($A$5="","Choose stock",IF(NOT($A$12),"Check split rule",IF(NOT(ISNUMBER(B990)),"Invalid date",IF(OR(B990&lt;=0,B990&lt;&gt;INT(B990)),"Invalid date",IF(COUNTIFS(DemoHistory[Date],B990)&lt;&gt;1,"Duplicate date",IF(AND($A990&gt;1,B990&lt;=B989),"Dates out of order",IF(NOT(ISNUMBER(C990)),"Missing price",IF(C990&lt;=0,"Nonpositive price","OK")))))))))</f>
        <v/>
      </c>
      <c r="I990" s="136"/>
      <c r="J990" s="136"/>
      <c r="K990" s="136"/>
      <c r="L990" s="136"/>
      <c r="M990" s="136"/>
      <c r="N990" s="136" t="e">
        <f t="shared" si="43"/>
        <v>#N/A</v>
      </c>
      <c r="O990" s="136" t="e">
        <f t="shared" si="44"/>
        <v>#N/A</v>
      </c>
    </row>
    <row r="991" spans="1:15" ht="22.05" customHeight="1" x14ac:dyDescent="0.3">
      <c r="A991" s="136">
        <v>947</v>
      </c>
      <c r="B991" s="165" t="str">
        <f>IF($A991&gt;MIN($A$10,$A$2),"",INDEX(DemoHistory[Date],$A991))</f>
        <v/>
      </c>
      <c r="C991" s="166" t="str">
        <f>IF(OR($A991&gt;MIN($A$10,$A$2),$A$5=""),"",INDEX(DemoHistory[],$A991,MATCH($A$5,DemoHistory[#Headers],0)))</f>
        <v/>
      </c>
      <c r="D991" s="166" t="str">
        <f>IF($A991&gt;MIN($A$10,$A$2),"",IF(AND($A$12,$A$6=1,B991&lt;$A$7,$A$7&lt;=MAX(DemoHistory[Date])),$A$8,1))</f>
        <v/>
      </c>
      <c r="E991" s="166" t="str">
        <f t="shared" si="42"/>
        <v/>
      </c>
      <c r="F991" s="166" t="str">
        <f>IF($A991&gt;MIN($A$10,$A$2),"",IF($A991&lt;50,"n.a.",IF(COUNT(INDEX(StockDaily[Adjusted close],MAX(1,$A991-50+1)):E991)=50,AVERAGE(INDEX(StockDaily[Adjusted close],MAX(1,$A991-50+1)):E991),"n.a.")))</f>
        <v/>
      </c>
      <c r="G991" s="166" t="str">
        <f>IF($A991&gt;MIN($A$10,$A$2),"",IF($A991&lt;200,"n.a.",IF(COUNT(INDEX(StockDaily[Adjusted close],MAX(1,$A991-200+1)):E991)=200,AVERAGE(INDEX(StockDaily[Adjusted close],MAX(1,$A991-200+1)):E991),"n.a.")))</f>
        <v/>
      </c>
      <c r="H991" s="136" t="str">
        <f>IF($A991&gt;MIN($A$10,$A$2),"",IF($A$5="","Choose stock",IF(NOT($A$12),"Check split rule",IF(NOT(ISNUMBER(B991)),"Invalid date",IF(OR(B991&lt;=0,B991&lt;&gt;INT(B991)),"Invalid date",IF(COUNTIFS(DemoHistory[Date],B991)&lt;&gt;1,"Duplicate date",IF(AND($A991&gt;1,B991&lt;=B990),"Dates out of order",IF(NOT(ISNUMBER(C991)),"Missing price",IF(C991&lt;=0,"Nonpositive price","OK")))))))))</f>
        <v/>
      </c>
      <c r="I991" s="136"/>
      <c r="J991" s="136"/>
      <c r="K991" s="136"/>
      <c r="L991" s="136"/>
      <c r="M991" s="136"/>
      <c r="N991" s="136" t="e">
        <f t="shared" si="43"/>
        <v>#N/A</v>
      </c>
      <c r="O991" s="136" t="e">
        <f t="shared" si="44"/>
        <v>#N/A</v>
      </c>
    </row>
    <row r="992" spans="1:15" ht="22.05" customHeight="1" x14ac:dyDescent="0.3">
      <c r="A992" s="136">
        <v>948</v>
      </c>
      <c r="B992" s="165" t="str">
        <f>IF($A992&gt;MIN($A$10,$A$2),"",INDEX(DemoHistory[Date],$A992))</f>
        <v/>
      </c>
      <c r="C992" s="166" t="str">
        <f>IF(OR($A992&gt;MIN($A$10,$A$2),$A$5=""),"",INDEX(DemoHistory[],$A992,MATCH($A$5,DemoHistory[#Headers],0)))</f>
        <v/>
      </c>
      <c r="D992" s="166" t="str">
        <f>IF($A992&gt;MIN($A$10,$A$2),"",IF(AND($A$12,$A$6=1,B992&lt;$A$7,$A$7&lt;=MAX(DemoHistory[Date])),$A$8,1))</f>
        <v/>
      </c>
      <c r="E992" s="166" t="str">
        <f t="shared" si="42"/>
        <v/>
      </c>
      <c r="F992" s="166" t="str">
        <f>IF($A992&gt;MIN($A$10,$A$2),"",IF($A992&lt;50,"n.a.",IF(COUNT(INDEX(StockDaily[Adjusted close],MAX(1,$A992-50+1)):E992)=50,AVERAGE(INDEX(StockDaily[Adjusted close],MAX(1,$A992-50+1)):E992),"n.a.")))</f>
        <v/>
      </c>
      <c r="G992" s="166" t="str">
        <f>IF($A992&gt;MIN($A$10,$A$2),"",IF($A992&lt;200,"n.a.",IF(COUNT(INDEX(StockDaily[Adjusted close],MAX(1,$A992-200+1)):E992)=200,AVERAGE(INDEX(StockDaily[Adjusted close],MAX(1,$A992-200+1)):E992),"n.a.")))</f>
        <v/>
      </c>
      <c r="H992" s="136" t="str">
        <f>IF($A992&gt;MIN($A$10,$A$2),"",IF($A$5="","Choose stock",IF(NOT($A$12),"Check split rule",IF(NOT(ISNUMBER(B992)),"Invalid date",IF(OR(B992&lt;=0,B992&lt;&gt;INT(B992)),"Invalid date",IF(COUNTIFS(DemoHistory[Date],B992)&lt;&gt;1,"Duplicate date",IF(AND($A992&gt;1,B992&lt;=B991),"Dates out of order",IF(NOT(ISNUMBER(C992)),"Missing price",IF(C992&lt;=0,"Nonpositive price","OK")))))))))</f>
        <v/>
      </c>
      <c r="I992" s="136"/>
      <c r="J992" s="136"/>
      <c r="K992" s="136"/>
      <c r="L992" s="136"/>
      <c r="M992" s="136"/>
      <c r="N992" s="136" t="e">
        <f t="shared" si="43"/>
        <v>#N/A</v>
      </c>
      <c r="O992" s="136" t="e">
        <f t="shared" si="44"/>
        <v>#N/A</v>
      </c>
    </row>
    <row r="993" spans="1:15" ht="22.05" customHeight="1" x14ac:dyDescent="0.3">
      <c r="A993" s="136">
        <v>949</v>
      </c>
      <c r="B993" s="165" t="str">
        <f>IF($A993&gt;MIN($A$10,$A$2),"",INDEX(DemoHistory[Date],$A993))</f>
        <v/>
      </c>
      <c r="C993" s="166" t="str">
        <f>IF(OR($A993&gt;MIN($A$10,$A$2),$A$5=""),"",INDEX(DemoHistory[],$A993,MATCH($A$5,DemoHistory[#Headers],0)))</f>
        <v/>
      </c>
      <c r="D993" s="166" t="str">
        <f>IF($A993&gt;MIN($A$10,$A$2),"",IF(AND($A$12,$A$6=1,B993&lt;$A$7,$A$7&lt;=MAX(DemoHistory[Date])),$A$8,1))</f>
        <v/>
      </c>
      <c r="E993" s="166" t="str">
        <f t="shared" si="42"/>
        <v/>
      </c>
      <c r="F993" s="166" t="str">
        <f>IF($A993&gt;MIN($A$10,$A$2),"",IF($A993&lt;50,"n.a.",IF(COUNT(INDEX(StockDaily[Adjusted close],MAX(1,$A993-50+1)):E993)=50,AVERAGE(INDEX(StockDaily[Adjusted close],MAX(1,$A993-50+1)):E993),"n.a.")))</f>
        <v/>
      </c>
      <c r="G993" s="166" t="str">
        <f>IF($A993&gt;MIN($A$10,$A$2),"",IF($A993&lt;200,"n.a.",IF(COUNT(INDEX(StockDaily[Adjusted close],MAX(1,$A993-200+1)):E993)=200,AVERAGE(INDEX(StockDaily[Adjusted close],MAX(1,$A993-200+1)):E993),"n.a.")))</f>
        <v/>
      </c>
      <c r="H993" s="136" t="str">
        <f>IF($A993&gt;MIN($A$10,$A$2),"",IF($A$5="","Choose stock",IF(NOT($A$12),"Check split rule",IF(NOT(ISNUMBER(B993)),"Invalid date",IF(OR(B993&lt;=0,B993&lt;&gt;INT(B993)),"Invalid date",IF(COUNTIFS(DemoHistory[Date],B993)&lt;&gt;1,"Duplicate date",IF(AND($A993&gt;1,B993&lt;=B992),"Dates out of order",IF(NOT(ISNUMBER(C993)),"Missing price",IF(C993&lt;=0,"Nonpositive price","OK")))))))))</f>
        <v/>
      </c>
      <c r="I993" s="136"/>
      <c r="J993" s="136"/>
      <c r="K993" s="136"/>
      <c r="L993" s="136"/>
      <c r="M993" s="136"/>
      <c r="N993" s="136" t="e">
        <f t="shared" si="43"/>
        <v>#N/A</v>
      </c>
      <c r="O993" s="136" t="e">
        <f t="shared" si="44"/>
        <v>#N/A</v>
      </c>
    </row>
    <row r="994" spans="1:15" ht="22.05" customHeight="1" x14ac:dyDescent="0.3">
      <c r="A994" s="136">
        <v>950</v>
      </c>
      <c r="B994" s="165" t="str">
        <f>IF($A994&gt;MIN($A$10,$A$2),"",INDEX(DemoHistory[Date],$A994))</f>
        <v/>
      </c>
      <c r="C994" s="166" t="str">
        <f>IF(OR($A994&gt;MIN($A$10,$A$2),$A$5=""),"",INDEX(DemoHistory[],$A994,MATCH($A$5,DemoHistory[#Headers],0)))</f>
        <v/>
      </c>
      <c r="D994" s="166" t="str">
        <f>IF($A994&gt;MIN($A$10,$A$2),"",IF(AND($A$12,$A$6=1,B994&lt;$A$7,$A$7&lt;=MAX(DemoHistory[Date])),$A$8,1))</f>
        <v/>
      </c>
      <c r="E994" s="166" t="str">
        <f t="shared" si="42"/>
        <v/>
      </c>
      <c r="F994" s="166" t="str">
        <f>IF($A994&gt;MIN($A$10,$A$2),"",IF($A994&lt;50,"n.a.",IF(COUNT(INDEX(StockDaily[Adjusted close],MAX(1,$A994-50+1)):E994)=50,AVERAGE(INDEX(StockDaily[Adjusted close],MAX(1,$A994-50+1)):E994),"n.a.")))</f>
        <v/>
      </c>
      <c r="G994" s="166" t="str">
        <f>IF($A994&gt;MIN($A$10,$A$2),"",IF($A994&lt;200,"n.a.",IF(COUNT(INDEX(StockDaily[Adjusted close],MAX(1,$A994-200+1)):E994)=200,AVERAGE(INDEX(StockDaily[Adjusted close],MAX(1,$A994-200+1)):E994),"n.a.")))</f>
        <v/>
      </c>
      <c r="H994" s="136" t="str">
        <f>IF($A994&gt;MIN($A$10,$A$2),"",IF($A$5="","Choose stock",IF(NOT($A$12),"Check split rule",IF(NOT(ISNUMBER(B994)),"Invalid date",IF(OR(B994&lt;=0,B994&lt;&gt;INT(B994)),"Invalid date",IF(COUNTIFS(DemoHistory[Date],B994)&lt;&gt;1,"Duplicate date",IF(AND($A994&gt;1,B994&lt;=B993),"Dates out of order",IF(NOT(ISNUMBER(C994)),"Missing price",IF(C994&lt;=0,"Nonpositive price","OK")))))))))</f>
        <v/>
      </c>
      <c r="I994" s="136"/>
      <c r="J994" s="136"/>
      <c r="K994" s="136"/>
      <c r="L994" s="136"/>
      <c r="M994" s="136"/>
      <c r="N994" s="136" t="e">
        <f t="shared" si="43"/>
        <v>#N/A</v>
      </c>
      <c r="O994" s="136" t="e">
        <f t="shared" si="44"/>
        <v>#N/A</v>
      </c>
    </row>
    <row r="995" spans="1:15" ht="22.05" customHeight="1" x14ac:dyDescent="0.3">
      <c r="A995" s="136">
        <v>951</v>
      </c>
      <c r="B995" s="165" t="str">
        <f>IF($A995&gt;MIN($A$10,$A$2),"",INDEX(DemoHistory[Date],$A995))</f>
        <v/>
      </c>
      <c r="C995" s="166" t="str">
        <f>IF(OR($A995&gt;MIN($A$10,$A$2),$A$5=""),"",INDEX(DemoHistory[],$A995,MATCH($A$5,DemoHistory[#Headers],0)))</f>
        <v/>
      </c>
      <c r="D995" s="166" t="str">
        <f>IF($A995&gt;MIN($A$10,$A$2),"",IF(AND($A$12,$A$6=1,B995&lt;$A$7,$A$7&lt;=MAX(DemoHistory[Date])),$A$8,1))</f>
        <v/>
      </c>
      <c r="E995" s="166" t="str">
        <f t="shared" si="42"/>
        <v/>
      </c>
      <c r="F995" s="166" t="str">
        <f>IF($A995&gt;MIN($A$10,$A$2),"",IF($A995&lt;50,"n.a.",IF(COUNT(INDEX(StockDaily[Adjusted close],MAX(1,$A995-50+1)):E995)=50,AVERAGE(INDEX(StockDaily[Adjusted close],MAX(1,$A995-50+1)):E995),"n.a.")))</f>
        <v/>
      </c>
      <c r="G995" s="166" t="str">
        <f>IF($A995&gt;MIN($A$10,$A$2),"",IF($A995&lt;200,"n.a.",IF(COUNT(INDEX(StockDaily[Adjusted close],MAX(1,$A995-200+1)):E995)=200,AVERAGE(INDEX(StockDaily[Adjusted close],MAX(1,$A995-200+1)):E995),"n.a.")))</f>
        <v/>
      </c>
      <c r="H995" s="136" t="str">
        <f>IF($A995&gt;MIN($A$10,$A$2),"",IF($A$5="","Choose stock",IF(NOT($A$12),"Check split rule",IF(NOT(ISNUMBER(B995)),"Invalid date",IF(OR(B995&lt;=0,B995&lt;&gt;INT(B995)),"Invalid date",IF(COUNTIFS(DemoHistory[Date],B995)&lt;&gt;1,"Duplicate date",IF(AND($A995&gt;1,B995&lt;=B994),"Dates out of order",IF(NOT(ISNUMBER(C995)),"Missing price",IF(C995&lt;=0,"Nonpositive price","OK")))))))))</f>
        <v/>
      </c>
      <c r="I995" s="136"/>
      <c r="J995" s="136"/>
      <c r="K995" s="136"/>
      <c r="L995" s="136"/>
      <c r="M995" s="136"/>
      <c r="N995" s="136" t="e">
        <f t="shared" si="43"/>
        <v>#N/A</v>
      </c>
      <c r="O995" s="136" t="e">
        <f t="shared" si="44"/>
        <v>#N/A</v>
      </c>
    </row>
    <row r="996" spans="1:15" ht="22.05" customHeight="1" x14ac:dyDescent="0.3">
      <c r="A996" s="136">
        <v>952</v>
      </c>
      <c r="B996" s="165" t="str">
        <f>IF($A996&gt;MIN($A$10,$A$2),"",INDEX(DemoHistory[Date],$A996))</f>
        <v/>
      </c>
      <c r="C996" s="166" t="str">
        <f>IF(OR($A996&gt;MIN($A$10,$A$2),$A$5=""),"",INDEX(DemoHistory[],$A996,MATCH($A$5,DemoHistory[#Headers],0)))</f>
        <v/>
      </c>
      <c r="D996" s="166" t="str">
        <f>IF($A996&gt;MIN($A$10,$A$2),"",IF(AND($A$12,$A$6=1,B996&lt;$A$7,$A$7&lt;=MAX(DemoHistory[Date])),$A$8,1))</f>
        <v/>
      </c>
      <c r="E996" s="166" t="str">
        <f t="shared" si="42"/>
        <v/>
      </c>
      <c r="F996" s="166" t="str">
        <f>IF($A996&gt;MIN($A$10,$A$2),"",IF($A996&lt;50,"n.a.",IF(COUNT(INDEX(StockDaily[Adjusted close],MAX(1,$A996-50+1)):E996)=50,AVERAGE(INDEX(StockDaily[Adjusted close],MAX(1,$A996-50+1)):E996),"n.a.")))</f>
        <v/>
      </c>
      <c r="G996" s="166" t="str">
        <f>IF($A996&gt;MIN($A$10,$A$2),"",IF($A996&lt;200,"n.a.",IF(COUNT(INDEX(StockDaily[Adjusted close],MAX(1,$A996-200+1)):E996)=200,AVERAGE(INDEX(StockDaily[Adjusted close],MAX(1,$A996-200+1)):E996),"n.a.")))</f>
        <v/>
      </c>
      <c r="H996" s="136" t="str">
        <f>IF($A996&gt;MIN($A$10,$A$2),"",IF($A$5="","Choose stock",IF(NOT($A$12),"Check split rule",IF(NOT(ISNUMBER(B996)),"Invalid date",IF(OR(B996&lt;=0,B996&lt;&gt;INT(B996)),"Invalid date",IF(COUNTIFS(DemoHistory[Date],B996)&lt;&gt;1,"Duplicate date",IF(AND($A996&gt;1,B996&lt;=B995),"Dates out of order",IF(NOT(ISNUMBER(C996)),"Missing price",IF(C996&lt;=0,"Nonpositive price","OK")))))))))</f>
        <v/>
      </c>
      <c r="I996" s="136"/>
      <c r="J996" s="136"/>
      <c r="K996" s="136"/>
      <c r="L996" s="136"/>
      <c r="M996" s="136"/>
      <c r="N996" s="136" t="e">
        <f t="shared" si="43"/>
        <v>#N/A</v>
      </c>
      <c r="O996" s="136" t="e">
        <f t="shared" si="44"/>
        <v>#N/A</v>
      </c>
    </row>
    <row r="997" spans="1:15" ht="22.05" customHeight="1" x14ac:dyDescent="0.3">
      <c r="A997" s="136">
        <v>953</v>
      </c>
      <c r="B997" s="165" t="str">
        <f>IF($A997&gt;MIN($A$10,$A$2),"",INDEX(DemoHistory[Date],$A997))</f>
        <v/>
      </c>
      <c r="C997" s="166" t="str">
        <f>IF(OR($A997&gt;MIN($A$10,$A$2),$A$5=""),"",INDEX(DemoHistory[],$A997,MATCH($A$5,DemoHistory[#Headers],0)))</f>
        <v/>
      </c>
      <c r="D997" s="166" t="str">
        <f>IF($A997&gt;MIN($A$10,$A$2),"",IF(AND($A$12,$A$6=1,B997&lt;$A$7,$A$7&lt;=MAX(DemoHistory[Date])),$A$8,1))</f>
        <v/>
      </c>
      <c r="E997" s="166" t="str">
        <f t="shared" si="42"/>
        <v/>
      </c>
      <c r="F997" s="166" t="str">
        <f>IF($A997&gt;MIN($A$10,$A$2),"",IF($A997&lt;50,"n.a.",IF(COUNT(INDEX(StockDaily[Adjusted close],MAX(1,$A997-50+1)):E997)=50,AVERAGE(INDEX(StockDaily[Adjusted close],MAX(1,$A997-50+1)):E997),"n.a.")))</f>
        <v/>
      </c>
      <c r="G997" s="166" t="str">
        <f>IF($A997&gt;MIN($A$10,$A$2),"",IF($A997&lt;200,"n.a.",IF(COUNT(INDEX(StockDaily[Adjusted close],MAX(1,$A997-200+1)):E997)=200,AVERAGE(INDEX(StockDaily[Adjusted close],MAX(1,$A997-200+1)):E997),"n.a.")))</f>
        <v/>
      </c>
      <c r="H997" s="136" t="str">
        <f>IF($A997&gt;MIN($A$10,$A$2),"",IF($A$5="","Choose stock",IF(NOT($A$12),"Check split rule",IF(NOT(ISNUMBER(B997)),"Invalid date",IF(OR(B997&lt;=0,B997&lt;&gt;INT(B997)),"Invalid date",IF(COUNTIFS(DemoHistory[Date],B997)&lt;&gt;1,"Duplicate date",IF(AND($A997&gt;1,B997&lt;=B996),"Dates out of order",IF(NOT(ISNUMBER(C997)),"Missing price",IF(C997&lt;=0,"Nonpositive price","OK")))))))))</f>
        <v/>
      </c>
      <c r="I997" s="136"/>
      <c r="J997" s="136"/>
      <c r="K997" s="136"/>
      <c r="L997" s="136"/>
      <c r="M997" s="136"/>
      <c r="N997" s="136" t="e">
        <f t="shared" si="43"/>
        <v>#N/A</v>
      </c>
      <c r="O997" s="136" t="e">
        <f t="shared" si="44"/>
        <v>#N/A</v>
      </c>
    </row>
    <row r="998" spans="1:15" ht="22.05" customHeight="1" x14ac:dyDescent="0.3">
      <c r="A998" s="136">
        <v>954</v>
      </c>
      <c r="B998" s="165" t="str">
        <f>IF($A998&gt;MIN($A$10,$A$2),"",INDEX(DemoHistory[Date],$A998))</f>
        <v/>
      </c>
      <c r="C998" s="166" t="str">
        <f>IF(OR($A998&gt;MIN($A$10,$A$2),$A$5=""),"",INDEX(DemoHistory[],$A998,MATCH($A$5,DemoHistory[#Headers],0)))</f>
        <v/>
      </c>
      <c r="D998" s="166" t="str">
        <f>IF($A998&gt;MIN($A$10,$A$2),"",IF(AND($A$12,$A$6=1,B998&lt;$A$7,$A$7&lt;=MAX(DemoHistory[Date])),$A$8,1))</f>
        <v/>
      </c>
      <c r="E998" s="166" t="str">
        <f t="shared" si="42"/>
        <v/>
      </c>
      <c r="F998" s="166" t="str">
        <f>IF($A998&gt;MIN($A$10,$A$2),"",IF($A998&lt;50,"n.a.",IF(COUNT(INDEX(StockDaily[Adjusted close],MAX(1,$A998-50+1)):E998)=50,AVERAGE(INDEX(StockDaily[Adjusted close],MAX(1,$A998-50+1)):E998),"n.a.")))</f>
        <v/>
      </c>
      <c r="G998" s="166" t="str">
        <f>IF($A998&gt;MIN($A$10,$A$2),"",IF($A998&lt;200,"n.a.",IF(COUNT(INDEX(StockDaily[Adjusted close],MAX(1,$A998-200+1)):E998)=200,AVERAGE(INDEX(StockDaily[Adjusted close],MAX(1,$A998-200+1)):E998),"n.a.")))</f>
        <v/>
      </c>
      <c r="H998" s="136" t="str">
        <f>IF($A998&gt;MIN($A$10,$A$2),"",IF($A$5="","Choose stock",IF(NOT($A$12),"Check split rule",IF(NOT(ISNUMBER(B998)),"Invalid date",IF(OR(B998&lt;=0,B998&lt;&gt;INT(B998)),"Invalid date",IF(COUNTIFS(DemoHistory[Date],B998)&lt;&gt;1,"Duplicate date",IF(AND($A998&gt;1,B998&lt;=B997),"Dates out of order",IF(NOT(ISNUMBER(C998)),"Missing price",IF(C998&lt;=0,"Nonpositive price","OK")))))))))</f>
        <v/>
      </c>
      <c r="I998" s="136"/>
      <c r="J998" s="136"/>
      <c r="K998" s="136"/>
      <c r="L998" s="136"/>
      <c r="M998" s="136"/>
      <c r="N998" s="136" t="e">
        <f t="shared" si="43"/>
        <v>#N/A</v>
      </c>
      <c r="O998" s="136" t="e">
        <f t="shared" si="44"/>
        <v>#N/A</v>
      </c>
    </row>
    <row r="999" spans="1:15" ht="22.05" customHeight="1" x14ac:dyDescent="0.3">
      <c r="A999" s="136">
        <v>955</v>
      </c>
      <c r="B999" s="165" t="str">
        <f>IF($A999&gt;MIN($A$10,$A$2),"",INDEX(DemoHistory[Date],$A999))</f>
        <v/>
      </c>
      <c r="C999" s="166" t="str">
        <f>IF(OR($A999&gt;MIN($A$10,$A$2),$A$5=""),"",INDEX(DemoHistory[],$A999,MATCH($A$5,DemoHistory[#Headers],0)))</f>
        <v/>
      </c>
      <c r="D999" s="166" t="str">
        <f>IF($A999&gt;MIN($A$10,$A$2),"",IF(AND($A$12,$A$6=1,B999&lt;$A$7,$A$7&lt;=MAX(DemoHistory[Date])),$A$8,1))</f>
        <v/>
      </c>
      <c r="E999" s="166" t="str">
        <f t="shared" si="42"/>
        <v/>
      </c>
      <c r="F999" s="166" t="str">
        <f>IF($A999&gt;MIN($A$10,$A$2),"",IF($A999&lt;50,"n.a.",IF(COUNT(INDEX(StockDaily[Adjusted close],MAX(1,$A999-50+1)):E999)=50,AVERAGE(INDEX(StockDaily[Adjusted close],MAX(1,$A999-50+1)):E999),"n.a.")))</f>
        <v/>
      </c>
      <c r="G999" s="166" t="str">
        <f>IF($A999&gt;MIN($A$10,$A$2),"",IF($A999&lt;200,"n.a.",IF(COUNT(INDEX(StockDaily[Adjusted close],MAX(1,$A999-200+1)):E999)=200,AVERAGE(INDEX(StockDaily[Adjusted close],MAX(1,$A999-200+1)):E999),"n.a.")))</f>
        <v/>
      </c>
      <c r="H999" s="136" t="str">
        <f>IF($A999&gt;MIN($A$10,$A$2),"",IF($A$5="","Choose stock",IF(NOT($A$12),"Check split rule",IF(NOT(ISNUMBER(B999)),"Invalid date",IF(OR(B999&lt;=0,B999&lt;&gt;INT(B999)),"Invalid date",IF(COUNTIFS(DemoHistory[Date],B999)&lt;&gt;1,"Duplicate date",IF(AND($A999&gt;1,B999&lt;=B998),"Dates out of order",IF(NOT(ISNUMBER(C999)),"Missing price",IF(C999&lt;=0,"Nonpositive price","OK")))))))))</f>
        <v/>
      </c>
      <c r="I999" s="136"/>
      <c r="J999" s="136"/>
      <c r="K999" s="136"/>
      <c r="L999" s="136"/>
      <c r="M999" s="136"/>
      <c r="N999" s="136" t="e">
        <f t="shared" si="43"/>
        <v>#N/A</v>
      </c>
      <c r="O999" s="136" t="e">
        <f t="shared" si="44"/>
        <v>#N/A</v>
      </c>
    </row>
    <row r="1000" spans="1:15" ht="22.05" customHeight="1" x14ac:dyDescent="0.3">
      <c r="A1000" s="136">
        <v>956</v>
      </c>
      <c r="B1000" s="165" t="str">
        <f>IF($A1000&gt;MIN($A$10,$A$2),"",INDEX(DemoHistory[Date],$A1000))</f>
        <v/>
      </c>
      <c r="C1000" s="166" t="str">
        <f>IF(OR($A1000&gt;MIN($A$10,$A$2),$A$5=""),"",INDEX(DemoHistory[],$A1000,MATCH($A$5,DemoHistory[#Headers],0)))</f>
        <v/>
      </c>
      <c r="D1000" s="166" t="str">
        <f>IF($A1000&gt;MIN($A$10,$A$2),"",IF(AND($A$12,$A$6=1,B1000&lt;$A$7,$A$7&lt;=MAX(DemoHistory[Date])),$A$8,1))</f>
        <v/>
      </c>
      <c r="E1000" s="166" t="str">
        <f t="shared" si="42"/>
        <v/>
      </c>
      <c r="F1000" s="166" t="str">
        <f>IF($A1000&gt;MIN($A$10,$A$2),"",IF($A1000&lt;50,"n.a.",IF(COUNT(INDEX(StockDaily[Adjusted close],MAX(1,$A1000-50+1)):E1000)=50,AVERAGE(INDEX(StockDaily[Adjusted close],MAX(1,$A1000-50+1)):E1000),"n.a.")))</f>
        <v/>
      </c>
      <c r="G1000" s="166" t="str">
        <f>IF($A1000&gt;MIN($A$10,$A$2),"",IF($A1000&lt;200,"n.a.",IF(COUNT(INDEX(StockDaily[Adjusted close],MAX(1,$A1000-200+1)):E1000)=200,AVERAGE(INDEX(StockDaily[Adjusted close],MAX(1,$A1000-200+1)):E1000),"n.a.")))</f>
        <v/>
      </c>
      <c r="H1000" s="136" t="str">
        <f>IF($A1000&gt;MIN($A$10,$A$2),"",IF($A$5="","Choose stock",IF(NOT($A$12),"Check split rule",IF(NOT(ISNUMBER(B1000)),"Invalid date",IF(OR(B1000&lt;=0,B1000&lt;&gt;INT(B1000)),"Invalid date",IF(COUNTIFS(DemoHistory[Date],B1000)&lt;&gt;1,"Duplicate date",IF(AND($A1000&gt;1,B1000&lt;=B999),"Dates out of order",IF(NOT(ISNUMBER(C1000)),"Missing price",IF(C1000&lt;=0,"Nonpositive price","OK")))))))))</f>
        <v/>
      </c>
      <c r="I1000" s="136"/>
      <c r="J1000" s="136"/>
      <c r="K1000" s="136"/>
      <c r="L1000" s="136"/>
      <c r="M1000" s="136"/>
      <c r="N1000" s="136" t="e">
        <f t="shared" si="43"/>
        <v>#N/A</v>
      </c>
      <c r="O1000" s="136" t="e">
        <f t="shared" si="44"/>
        <v>#N/A</v>
      </c>
    </row>
    <row r="1001" spans="1:15" ht="22.05" customHeight="1" x14ac:dyDescent="0.3">
      <c r="A1001" s="136">
        <v>957</v>
      </c>
      <c r="B1001" s="165" t="str">
        <f>IF($A1001&gt;MIN($A$10,$A$2),"",INDEX(DemoHistory[Date],$A1001))</f>
        <v/>
      </c>
      <c r="C1001" s="166" t="str">
        <f>IF(OR($A1001&gt;MIN($A$10,$A$2),$A$5=""),"",INDEX(DemoHistory[],$A1001,MATCH($A$5,DemoHistory[#Headers],0)))</f>
        <v/>
      </c>
      <c r="D1001" s="166" t="str">
        <f>IF($A1001&gt;MIN($A$10,$A$2),"",IF(AND($A$12,$A$6=1,B1001&lt;$A$7,$A$7&lt;=MAX(DemoHistory[Date])),$A$8,1))</f>
        <v/>
      </c>
      <c r="E1001" s="166" t="str">
        <f t="shared" si="42"/>
        <v/>
      </c>
      <c r="F1001" s="166" t="str">
        <f>IF($A1001&gt;MIN($A$10,$A$2),"",IF($A1001&lt;50,"n.a.",IF(COUNT(INDEX(StockDaily[Adjusted close],MAX(1,$A1001-50+1)):E1001)=50,AVERAGE(INDEX(StockDaily[Adjusted close],MAX(1,$A1001-50+1)):E1001),"n.a.")))</f>
        <v/>
      </c>
      <c r="G1001" s="166" t="str">
        <f>IF($A1001&gt;MIN($A$10,$A$2),"",IF($A1001&lt;200,"n.a.",IF(COUNT(INDEX(StockDaily[Adjusted close],MAX(1,$A1001-200+1)):E1001)=200,AVERAGE(INDEX(StockDaily[Adjusted close],MAX(1,$A1001-200+1)):E1001),"n.a.")))</f>
        <v/>
      </c>
      <c r="H1001" s="136" t="str">
        <f>IF($A1001&gt;MIN($A$10,$A$2),"",IF($A$5="","Choose stock",IF(NOT($A$12),"Check split rule",IF(NOT(ISNUMBER(B1001)),"Invalid date",IF(OR(B1001&lt;=0,B1001&lt;&gt;INT(B1001)),"Invalid date",IF(COUNTIFS(DemoHistory[Date],B1001)&lt;&gt;1,"Duplicate date",IF(AND($A1001&gt;1,B1001&lt;=B1000),"Dates out of order",IF(NOT(ISNUMBER(C1001)),"Missing price",IF(C1001&lt;=0,"Nonpositive price","OK")))))))))</f>
        <v/>
      </c>
      <c r="I1001" s="136"/>
      <c r="J1001" s="136"/>
      <c r="K1001" s="136"/>
      <c r="L1001" s="136"/>
      <c r="M1001" s="136"/>
      <c r="N1001" s="136" t="e">
        <f t="shared" si="43"/>
        <v>#N/A</v>
      </c>
      <c r="O1001" s="136" t="e">
        <f t="shared" si="44"/>
        <v>#N/A</v>
      </c>
    </row>
    <row r="1002" spans="1:15" ht="22.05" customHeight="1" x14ac:dyDescent="0.3">
      <c r="A1002" s="136">
        <v>958</v>
      </c>
      <c r="B1002" s="165" t="str">
        <f>IF($A1002&gt;MIN($A$10,$A$2),"",INDEX(DemoHistory[Date],$A1002))</f>
        <v/>
      </c>
      <c r="C1002" s="166" t="str">
        <f>IF(OR($A1002&gt;MIN($A$10,$A$2),$A$5=""),"",INDEX(DemoHistory[],$A1002,MATCH($A$5,DemoHistory[#Headers],0)))</f>
        <v/>
      </c>
      <c r="D1002" s="166" t="str">
        <f>IF($A1002&gt;MIN($A$10,$A$2),"",IF(AND($A$12,$A$6=1,B1002&lt;$A$7,$A$7&lt;=MAX(DemoHistory[Date])),$A$8,1))</f>
        <v/>
      </c>
      <c r="E1002" s="166" t="str">
        <f t="shared" si="42"/>
        <v/>
      </c>
      <c r="F1002" s="166" t="str">
        <f>IF($A1002&gt;MIN($A$10,$A$2),"",IF($A1002&lt;50,"n.a.",IF(COUNT(INDEX(StockDaily[Adjusted close],MAX(1,$A1002-50+1)):E1002)=50,AVERAGE(INDEX(StockDaily[Adjusted close],MAX(1,$A1002-50+1)):E1002),"n.a.")))</f>
        <v/>
      </c>
      <c r="G1002" s="166" t="str">
        <f>IF($A1002&gt;MIN($A$10,$A$2),"",IF($A1002&lt;200,"n.a.",IF(COUNT(INDEX(StockDaily[Adjusted close],MAX(1,$A1002-200+1)):E1002)=200,AVERAGE(INDEX(StockDaily[Adjusted close],MAX(1,$A1002-200+1)):E1002),"n.a.")))</f>
        <v/>
      </c>
      <c r="H1002" s="136" t="str">
        <f>IF($A1002&gt;MIN($A$10,$A$2),"",IF($A$5="","Choose stock",IF(NOT($A$12),"Check split rule",IF(NOT(ISNUMBER(B1002)),"Invalid date",IF(OR(B1002&lt;=0,B1002&lt;&gt;INT(B1002)),"Invalid date",IF(COUNTIFS(DemoHistory[Date],B1002)&lt;&gt;1,"Duplicate date",IF(AND($A1002&gt;1,B1002&lt;=B1001),"Dates out of order",IF(NOT(ISNUMBER(C1002)),"Missing price",IF(C1002&lt;=0,"Nonpositive price","OK")))))))))</f>
        <v/>
      </c>
      <c r="I1002" s="136"/>
      <c r="J1002" s="136"/>
      <c r="K1002" s="136"/>
      <c r="L1002" s="136"/>
      <c r="M1002" s="136"/>
      <c r="N1002" s="136" t="e">
        <f t="shared" si="43"/>
        <v>#N/A</v>
      </c>
      <c r="O1002" s="136" t="e">
        <f t="shared" si="44"/>
        <v>#N/A</v>
      </c>
    </row>
    <row r="1003" spans="1:15" ht="22.05" customHeight="1" x14ac:dyDescent="0.3">
      <c r="A1003" s="136">
        <v>959</v>
      </c>
      <c r="B1003" s="165" t="str">
        <f>IF($A1003&gt;MIN($A$10,$A$2),"",INDEX(DemoHistory[Date],$A1003))</f>
        <v/>
      </c>
      <c r="C1003" s="166" t="str">
        <f>IF(OR($A1003&gt;MIN($A$10,$A$2),$A$5=""),"",INDEX(DemoHistory[],$A1003,MATCH($A$5,DemoHistory[#Headers],0)))</f>
        <v/>
      </c>
      <c r="D1003" s="166" t="str">
        <f>IF($A1003&gt;MIN($A$10,$A$2),"",IF(AND($A$12,$A$6=1,B1003&lt;$A$7,$A$7&lt;=MAX(DemoHistory[Date])),$A$8,1))</f>
        <v/>
      </c>
      <c r="E1003" s="166" t="str">
        <f t="shared" si="42"/>
        <v/>
      </c>
      <c r="F1003" s="166" t="str">
        <f>IF($A1003&gt;MIN($A$10,$A$2),"",IF($A1003&lt;50,"n.a.",IF(COUNT(INDEX(StockDaily[Adjusted close],MAX(1,$A1003-50+1)):E1003)=50,AVERAGE(INDEX(StockDaily[Adjusted close],MAX(1,$A1003-50+1)):E1003),"n.a.")))</f>
        <v/>
      </c>
      <c r="G1003" s="166" t="str">
        <f>IF($A1003&gt;MIN($A$10,$A$2),"",IF($A1003&lt;200,"n.a.",IF(COUNT(INDEX(StockDaily[Adjusted close],MAX(1,$A1003-200+1)):E1003)=200,AVERAGE(INDEX(StockDaily[Adjusted close],MAX(1,$A1003-200+1)):E1003),"n.a.")))</f>
        <v/>
      </c>
      <c r="H1003" s="136" t="str">
        <f>IF($A1003&gt;MIN($A$10,$A$2),"",IF($A$5="","Choose stock",IF(NOT($A$12),"Check split rule",IF(NOT(ISNUMBER(B1003)),"Invalid date",IF(OR(B1003&lt;=0,B1003&lt;&gt;INT(B1003)),"Invalid date",IF(COUNTIFS(DemoHistory[Date],B1003)&lt;&gt;1,"Duplicate date",IF(AND($A1003&gt;1,B1003&lt;=B1002),"Dates out of order",IF(NOT(ISNUMBER(C1003)),"Missing price",IF(C1003&lt;=0,"Nonpositive price","OK")))))))))</f>
        <v/>
      </c>
      <c r="I1003" s="136"/>
      <c r="J1003" s="136"/>
      <c r="K1003" s="136"/>
      <c r="L1003" s="136"/>
      <c r="M1003" s="136"/>
      <c r="N1003" s="136" t="e">
        <f t="shared" si="43"/>
        <v>#N/A</v>
      </c>
      <c r="O1003" s="136" t="e">
        <f t="shared" si="44"/>
        <v>#N/A</v>
      </c>
    </row>
    <row r="1004" spans="1:15" ht="22.05" customHeight="1" x14ac:dyDescent="0.3">
      <c r="A1004" s="136">
        <v>960</v>
      </c>
      <c r="B1004" s="165" t="str">
        <f>IF($A1004&gt;MIN($A$10,$A$2),"",INDEX(DemoHistory[Date],$A1004))</f>
        <v/>
      </c>
      <c r="C1004" s="166" t="str">
        <f>IF(OR($A1004&gt;MIN($A$10,$A$2),$A$5=""),"",INDEX(DemoHistory[],$A1004,MATCH($A$5,DemoHistory[#Headers],0)))</f>
        <v/>
      </c>
      <c r="D1004" s="166" t="str">
        <f>IF($A1004&gt;MIN($A$10,$A$2),"",IF(AND($A$12,$A$6=1,B1004&lt;$A$7,$A$7&lt;=MAX(DemoHistory[Date])),$A$8,1))</f>
        <v/>
      </c>
      <c r="E1004" s="166" t="str">
        <f t="shared" si="42"/>
        <v/>
      </c>
      <c r="F1004" s="166" t="str">
        <f>IF($A1004&gt;MIN($A$10,$A$2),"",IF($A1004&lt;50,"n.a.",IF(COUNT(INDEX(StockDaily[Adjusted close],MAX(1,$A1004-50+1)):E1004)=50,AVERAGE(INDEX(StockDaily[Adjusted close],MAX(1,$A1004-50+1)):E1004),"n.a.")))</f>
        <v/>
      </c>
      <c r="G1004" s="166" t="str">
        <f>IF($A1004&gt;MIN($A$10,$A$2),"",IF($A1004&lt;200,"n.a.",IF(COUNT(INDEX(StockDaily[Adjusted close],MAX(1,$A1004-200+1)):E1004)=200,AVERAGE(INDEX(StockDaily[Adjusted close],MAX(1,$A1004-200+1)):E1004),"n.a.")))</f>
        <v/>
      </c>
      <c r="H1004" s="136" t="str">
        <f>IF($A1004&gt;MIN($A$10,$A$2),"",IF($A$5="","Choose stock",IF(NOT($A$12),"Check split rule",IF(NOT(ISNUMBER(B1004)),"Invalid date",IF(OR(B1004&lt;=0,B1004&lt;&gt;INT(B1004)),"Invalid date",IF(COUNTIFS(DemoHistory[Date],B1004)&lt;&gt;1,"Duplicate date",IF(AND($A1004&gt;1,B1004&lt;=B1003),"Dates out of order",IF(NOT(ISNUMBER(C1004)),"Missing price",IF(C1004&lt;=0,"Nonpositive price","OK")))))))))</f>
        <v/>
      </c>
      <c r="I1004" s="136"/>
      <c r="J1004" s="136"/>
      <c r="K1004" s="136"/>
      <c r="L1004" s="136"/>
      <c r="M1004" s="136"/>
      <c r="N1004" s="136" t="e">
        <f t="shared" si="43"/>
        <v>#N/A</v>
      </c>
      <c r="O1004" s="136" t="e">
        <f t="shared" si="44"/>
        <v>#N/A</v>
      </c>
    </row>
    <row r="1005" spans="1:15" ht="22.05" customHeight="1" x14ac:dyDescent="0.3">
      <c r="A1005" s="136">
        <v>961</v>
      </c>
      <c r="B1005" s="165" t="str">
        <f>IF($A1005&gt;MIN($A$10,$A$2),"",INDEX(DemoHistory[Date],$A1005))</f>
        <v/>
      </c>
      <c r="C1005" s="166" t="str">
        <f>IF(OR($A1005&gt;MIN($A$10,$A$2),$A$5=""),"",INDEX(DemoHistory[],$A1005,MATCH($A$5,DemoHistory[#Headers],0)))</f>
        <v/>
      </c>
      <c r="D1005" s="166" t="str">
        <f>IF($A1005&gt;MIN($A$10,$A$2),"",IF(AND($A$12,$A$6=1,B1005&lt;$A$7,$A$7&lt;=MAX(DemoHistory[Date])),$A$8,1))</f>
        <v/>
      </c>
      <c r="E1005" s="166" t="str">
        <f t="shared" ref="E1005:E1068" si="45">IF($A1005&gt;MIN($A$10,$A$2),"",IF(H1005="OK",C1005/D1005,"n.a."))</f>
        <v/>
      </c>
      <c r="F1005" s="166" t="str">
        <f>IF($A1005&gt;MIN($A$10,$A$2),"",IF($A1005&lt;50,"n.a.",IF(COUNT(INDEX(StockDaily[Adjusted close],MAX(1,$A1005-50+1)):E1005)=50,AVERAGE(INDEX(StockDaily[Adjusted close],MAX(1,$A1005-50+1)):E1005),"n.a.")))</f>
        <v/>
      </c>
      <c r="G1005" s="166" t="str">
        <f>IF($A1005&gt;MIN($A$10,$A$2),"",IF($A1005&lt;200,"n.a.",IF(COUNT(INDEX(StockDaily[Adjusted close],MAX(1,$A1005-200+1)):E1005)=200,AVERAGE(INDEX(StockDaily[Adjusted close],MAX(1,$A1005-200+1)):E1005),"n.a.")))</f>
        <v/>
      </c>
      <c r="H1005" s="136" t="str">
        <f>IF($A1005&gt;MIN($A$10,$A$2),"",IF($A$5="","Choose stock",IF(NOT($A$12),"Check split rule",IF(NOT(ISNUMBER(B1005)),"Invalid date",IF(OR(B1005&lt;=0,B1005&lt;&gt;INT(B1005)),"Invalid date",IF(COUNTIFS(DemoHistory[Date],B1005)&lt;&gt;1,"Duplicate date",IF(AND($A1005&gt;1,B1005&lt;=B1004),"Dates out of order",IF(NOT(ISNUMBER(C1005)),"Missing price",IF(C1005&lt;=0,"Nonpositive price","OK")))))))))</f>
        <v/>
      </c>
      <c r="I1005" s="136"/>
      <c r="J1005" s="136"/>
      <c r="K1005" s="136"/>
      <c r="L1005" s="136"/>
      <c r="M1005" s="136"/>
      <c r="N1005" s="136" t="e">
        <f t="shared" ref="N1005:N1044" si="46">IF(AND($A$13="Ready",ISNUMBER(E1005)),E1005,NA())</f>
        <v>#N/A</v>
      </c>
      <c r="O1005" s="136" t="e">
        <f t="shared" ref="O1005:O1044" si="47">IF(AND($A$13="Ready",ISNUMBER(F1005)),F1005,NA())</f>
        <v>#N/A</v>
      </c>
    </row>
    <row r="1006" spans="1:15" ht="22.05" customHeight="1" x14ac:dyDescent="0.3">
      <c r="A1006" s="136">
        <v>962</v>
      </c>
      <c r="B1006" s="165" t="str">
        <f>IF($A1006&gt;MIN($A$10,$A$2),"",INDEX(DemoHistory[Date],$A1006))</f>
        <v/>
      </c>
      <c r="C1006" s="166" t="str">
        <f>IF(OR($A1006&gt;MIN($A$10,$A$2),$A$5=""),"",INDEX(DemoHistory[],$A1006,MATCH($A$5,DemoHistory[#Headers],0)))</f>
        <v/>
      </c>
      <c r="D1006" s="166" t="str">
        <f>IF($A1006&gt;MIN($A$10,$A$2),"",IF(AND($A$12,$A$6=1,B1006&lt;$A$7,$A$7&lt;=MAX(DemoHistory[Date])),$A$8,1))</f>
        <v/>
      </c>
      <c r="E1006" s="166" t="str">
        <f t="shared" si="45"/>
        <v/>
      </c>
      <c r="F1006" s="166" t="str">
        <f>IF($A1006&gt;MIN($A$10,$A$2),"",IF($A1006&lt;50,"n.a.",IF(COUNT(INDEX(StockDaily[Adjusted close],MAX(1,$A1006-50+1)):E1006)=50,AVERAGE(INDEX(StockDaily[Adjusted close],MAX(1,$A1006-50+1)):E1006),"n.a.")))</f>
        <v/>
      </c>
      <c r="G1006" s="166" t="str">
        <f>IF($A1006&gt;MIN($A$10,$A$2),"",IF($A1006&lt;200,"n.a.",IF(COUNT(INDEX(StockDaily[Adjusted close],MAX(1,$A1006-200+1)):E1006)=200,AVERAGE(INDEX(StockDaily[Adjusted close],MAX(1,$A1006-200+1)):E1006),"n.a.")))</f>
        <v/>
      </c>
      <c r="H1006" s="136" t="str">
        <f>IF($A1006&gt;MIN($A$10,$A$2),"",IF($A$5="","Choose stock",IF(NOT($A$12),"Check split rule",IF(NOT(ISNUMBER(B1006)),"Invalid date",IF(OR(B1006&lt;=0,B1006&lt;&gt;INT(B1006)),"Invalid date",IF(COUNTIFS(DemoHistory[Date],B1006)&lt;&gt;1,"Duplicate date",IF(AND($A1006&gt;1,B1006&lt;=B1005),"Dates out of order",IF(NOT(ISNUMBER(C1006)),"Missing price",IF(C1006&lt;=0,"Nonpositive price","OK")))))))))</f>
        <v/>
      </c>
      <c r="I1006" s="136"/>
      <c r="J1006" s="136"/>
      <c r="K1006" s="136"/>
      <c r="L1006" s="136"/>
      <c r="M1006" s="136"/>
      <c r="N1006" s="136" t="e">
        <f t="shared" si="46"/>
        <v>#N/A</v>
      </c>
      <c r="O1006" s="136" t="e">
        <f t="shared" si="47"/>
        <v>#N/A</v>
      </c>
    </row>
    <row r="1007" spans="1:15" ht="22.05" customHeight="1" x14ac:dyDescent="0.3">
      <c r="A1007" s="136">
        <v>963</v>
      </c>
      <c r="B1007" s="165" t="str">
        <f>IF($A1007&gt;MIN($A$10,$A$2),"",INDEX(DemoHistory[Date],$A1007))</f>
        <v/>
      </c>
      <c r="C1007" s="166" t="str">
        <f>IF(OR($A1007&gt;MIN($A$10,$A$2),$A$5=""),"",INDEX(DemoHistory[],$A1007,MATCH($A$5,DemoHistory[#Headers],0)))</f>
        <v/>
      </c>
      <c r="D1007" s="166" t="str">
        <f>IF($A1007&gt;MIN($A$10,$A$2),"",IF(AND($A$12,$A$6=1,B1007&lt;$A$7,$A$7&lt;=MAX(DemoHistory[Date])),$A$8,1))</f>
        <v/>
      </c>
      <c r="E1007" s="166" t="str">
        <f t="shared" si="45"/>
        <v/>
      </c>
      <c r="F1007" s="166" t="str">
        <f>IF($A1007&gt;MIN($A$10,$A$2),"",IF($A1007&lt;50,"n.a.",IF(COUNT(INDEX(StockDaily[Adjusted close],MAX(1,$A1007-50+1)):E1007)=50,AVERAGE(INDEX(StockDaily[Adjusted close],MAX(1,$A1007-50+1)):E1007),"n.a.")))</f>
        <v/>
      </c>
      <c r="G1007" s="166" t="str">
        <f>IF($A1007&gt;MIN($A$10,$A$2),"",IF($A1007&lt;200,"n.a.",IF(COUNT(INDEX(StockDaily[Adjusted close],MAX(1,$A1007-200+1)):E1007)=200,AVERAGE(INDEX(StockDaily[Adjusted close],MAX(1,$A1007-200+1)):E1007),"n.a.")))</f>
        <v/>
      </c>
      <c r="H1007" s="136" t="str">
        <f>IF($A1007&gt;MIN($A$10,$A$2),"",IF($A$5="","Choose stock",IF(NOT($A$12),"Check split rule",IF(NOT(ISNUMBER(B1007)),"Invalid date",IF(OR(B1007&lt;=0,B1007&lt;&gt;INT(B1007)),"Invalid date",IF(COUNTIFS(DemoHistory[Date],B1007)&lt;&gt;1,"Duplicate date",IF(AND($A1007&gt;1,B1007&lt;=B1006),"Dates out of order",IF(NOT(ISNUMBER(C1007)),"Missing price",IF(C1007&lt;=0,"Nonpositive price","OK")))))))))</f>
        <v/>
      </c>
      <c r="I1007" s="136"/>
      <c r="J1007" s="136"/>
      <c r="K1007" s="136"/>
      <c r="L1007" s="136"/>
      <c r="M1007" s="136"/>
      <c r="N1007" s="136" t="e">
        <f t="shared" si="46"/>
        <v>#N/A</v>
      </c>
      <c r="O1007" s="136" t="e">
        <f t="shared" si="47"/>
        <v>#N/A</v>
      </c>
    </row>
    <row r="1008" spans="1:15" ht="22.05" customHeight="1" x14ac:dyDescent="0.3">
      <c r="A1008" s="136">
        <v>964</v>
      </c>
      <c r="B1008" s="165" t="str">
        <f>IF($A1008&gt;MIN($A$10,$A$2),"",INDEX(DemoHistory[Date],$A1008))</f>
        <v/>
      </c>
      <c r="C1008" s="166" t="str">
        <f>IF(OR($A1008&gt;MIN($A$10,$A$2),$A$5=""),"",INDEX(DemoHistory[],$A1008,MATCH($A$5,DemoHistory[#Headers],0)))</f>
        <v/>
      </c>
      <c r="D1008" s="166" t="str">
        <f>IF($A1008&gt;MIN($A$10,$A$2),"",IF(AND($A$12,$A$6=1,B1008&lt;$A$7,$A$7&lt;=MAX(DemoHistory[Date])),$A$8,1))</f>
        <v/>
      </c>
      <c r="E1008" s="166" t="str">
        <f t="shared" si="45"/>
        <v/>
      </c>
      <c r="F1008" s="166" t="str">
        <f>IF($A1008&gt;MIN($A$10,$A$2),"",IF($A1008&lt;50,"n.a.",IF(COUNT(INDEX(StockDaily[Adjusted close],MAX(1,$A1008-50+1)):E1008)=50,AVERAGE(INDEX(StockDaily[Adjusted close],MAX(1,$A1008-50+1)):E1008),"n.a.")))</f>
        <v/>
      </c>
      <c r="G1008" s="166" t="str">
        <f>IF($A1008&gt;MIN($A$10,$A$2),"",IF($A1008&lt;200,"n.a.",IF(COUNT(INDEX(StockDaily[Adjusted close],MAX(1,$A1008-200+1)):E1008)=200,AVERAGE(INDEX(StockDaily[Adjusted close],MAX(1,$A1008-200+1)):E1008),"n.a.")))</f>
        <v/>
      </c>
      <c r="H1008" s="136" t="str">
        <f>IF($A1008&gt;MIN($A$10,$A$2),"",IF($A$5="","Choose stock",IF(NOT($A$12),"Check split rule",IF(NOT(ISNUMBER(B1008)),"Invalid date",IF(OR(B1008&lt;=0,B1008&lt;&gt;INT(B1008)),"Invalid date",IF(COUNTIFS(DemoHistory[Date],B1008)&lt;&gt;1,"Duplicate date",IF(AND($A1008&gt;1,B1008&lt;=B1007),"Dates out of order",IF(NOT(ISNUMBER(C1008)),"Missing price",IF(C1008&lt;=0,"Nonpositive price","OK")))))))))</f>
        <v/>
      </c>
      <c r="I1008" s="136"/>
      <c r="J1008" s="136"/>
      <c r="K1008" s="136"/>
      <c r="L1008" s="136"/>
      <c r="M1008" s="136"/>
      <c r="N1008" s="136" t="e">
        <f t="shared" si="46"/>
        <v>#N/A</v>
      </c>
      <c r="O1008" s="136" t="e">
        <f t="shared" si="47"/>
        <v>#N/A</v>
      </c>
    </row>
    <row r="1009" spans="1:15" ht="22.05" customHeight="1" x14ac:dyDescent="0.3">
      <c r="A1009" s="136">
        <v>965</v>
      </c>
      <c r="B1009" s="165" t="str">
        <f>IF($A1009&gt;MIN($A$10,$A$2),"",INDEX(DemoHistory[Date],$A1009))</f>
        <v/>
      </c>
      <c r="C1009" s="166" t="str">
        <f>IF(OR($A1009&gt;MIN($A$10,$A$2),$A$5=""),"",INDEX(DemoHistory[],$A1009,MATCH($A$5,DemoHistory[#Headers],0)))</f>
        <v/>
      </c>
      <c r="D1009" s="166" t="str">
        <f>IF($A1009&gt;MIN($A$10,$A$2),"",IF(AND($A$12,$A$6=1,B1009&lt;$A$7,$A$7&lt;=MAX(DemoHistory[Date])),$A$8,1))</f>
        <v/>
      </c>
      <c r="E1009" s="166" t="str">
        <f t="shared" si="45"/>
        <v/>
      </c>
      <c r="F1009" s="166" t="str">
        <f>IF($A1009&gt;MIN($A$10,$A$2),"",IF($A1009&lt;50,"n.a.",IF(COUNT(INDEX(StockDaily[Adjusted close],MAX(1,$A1009-50+1)):E1009)=50,AVERAGE(INDEX(StockDaily[Adjusted close],MAX(1,$A1009-50+1)):E1009),"n.a.")))</f>
        <v/>
      </c>
      <c r="G1009" s="166" t="str">
        <f>IF($A1009&gt;MIN($A$10,$A$2),"",IF($A1009&lt;200,"n.a.",IF(COUNT(INDEX(StockDaily[Adjusted close],MAX(1,$A1009-200+1)):E1009)=200,AVERAGE(INDEX(StockDaily[Adjusted close],MAX(1,$A1009-200+1)):E1009),"n.a.")))</f>
        <v/>
      </c>
      <c r="H1009" s="136" t="str">
        <f>IF($A1009&gt;MIN($A$10,$A$2),"",IF($A$5="","Choose stock",IF(NOT($A$12),"Check split rule",IF(NOT(ISNUMBER(B1009)),"Invalid date",IF(OR(B1009&lt;=0,B1009&lt;&gt;INT(B1009)),"Invalid date",IF(COUNTIFS(DemoHistory[Date],B1009)&lt;&gt;1,"Duplicate date",IF(AND($A1009&gt;1,B1009&lt;=B1008),"Dates out of order",IF(NOT(ISNUMBER(C1009)),"Missing price",IF(C1009&lt;=0,"Nonpositive price","OK")))))))))</f>
        <v/>
      </c>
      <c r="I1009" s="136"/>
      <c r="J1009" s="136"/>
      <c r="K1009" s="136"/>
      <c r="L1009" s="136"/>
      <c r="M1009" s="136"/>
      <c r="N1009" s="136" t="e">
        <f t="shared" si="46"/>
        <v>#N/A</v>
      </c>
      <c r="O1009" s="136" t="e">
        <f t="shared" si="47"/>
        <v>#N/A</v>
      </c>
    </row>
    <row r="1010" spans="1:15" ht="22.05" customHeight="1" x14ac:dyDescent="0.3">
      <c r="A1010" s="136">
        <v>966</v>
      </c>
      <c r="B1010" s="165" t="str">
        <f>IF($A1010&gt;MIN($A$10,$A$2),"",INDEX(DemoHistory[Date],$A1010))</f>
        <v/>
      </c>
      <c r="C1010" s="166" t="str">
        <f>IF(OR($A1010&gt;MIN($A$10,$A$2),$A$5=""),"",INDEX(DemoHistory[],$A1010,MATCH($A$5,DemoHistory[#Headers],0)))</f>
        <v/>
      </c>
      <c r="D1010" s="166" t="str">
        <f>IF($A1010&gt;MIN($A$10,$A$2),"",IF(AND($A$12,$A$6=1,B1010&lt;$A$7,$A$7&lt;=MAX(DemoHistory[Date])),$A$8,1))</f>
        <v/>
      </c>
      <c r="E1010" s="166" t="str">
        <f t="shared" si="45"/>
        <v/>
      </c>
      <c r="F1010" s="166" t="str">
        <f>IF($A1010&gt;MIN($A$10,$A$2),"",IF($A1010&lt;50,"n.a.",IF(COUNT(INDEX(StockDaily[Adjusted close],MAX(1,$A1010-50+1)):E1010)=50,AVERAGE(INDEX(StockDaily[Adjusted close],MAX(1,$A1010-50+1)):E1010),"n.a.")))</f>
        <v/>
      </c>
      <c r="G1010" s="166" t="str">
        <f>IF($A1010&gt;MIN($A$10,$A$2),"",IF($A1010&lt;200,"n.a.",IF(COUNT(INDEX(StockDaily[Adjusted close],MAX(1,$A1010-200+1)):E1010)=200,AVERAGE(INDEX(StockDaily[Adjusted close],MAX(1,$A1010-200+1)):E1010),"n.a.")))</f>
        <v/>
      </c>
      <c r="H1010" s="136" t="str">
        <f>IF($A1010&gt;MIN($A$10,$A$2),"",IF($A$5="","Choose stock",IF(NOT($A$12),"Check split rule",IF(NOT(ISNUMBER(B1010)),"Invalid date",IF(OR(B1010&lt;=0,B1010&lt;&gt;INT(B1010)),"Invalid date",IF(COUNTIFS(DemoHistory[Date],B1010)&lt;&gt;1,"Duplicate date",IF(AND($A1010&gt;1,B1010&lt;=B1009),"Dates out of order",IF(NOT(ISNUMBER(C1010)),"Missing price",IF(C1010&lt;=0,"Nonpositive price","OK")))))))))</f>
        <v/>
      </c>
      <c r="I1010" s="136"/>
      <c r="J1010" s="136"/>
      <c r="K1010" s="136"/>
      <c r="L1010" s="136"/>
      <c r="M1010" s="136"/>
      <c r="N1010" s="136" t="e">
        <f t="shared" si="46"/>
        <v>#N/A</v>
      </c>
      <c r="O1010" s="136" t="e">
        <f t="shared" si="47"/>
        <v>#N/A</v>
      </c>
    </row>
    <row r="1011" spans="1:15" ht="22.05" customHeight="1" x14ac:dyDescent="0.3">
      <c r="A1011" s="136">
        <v>967</v>
      </c>
      <c r="B1011" s="165" t="str">
        <f>IF($A1011&gt;MIN($A$10,$A$2),"",INDEX(DemoHistory[Date],$A1011))</f>
        <v/>
      </c>
      <c r="C1011" s="166" t="str">
        <f>IF(OR($A1011&gt;MIN($A$10,$A$2),$A$5=""),"",INDEX(DemoHistory[],$A1011,MATCH($A$5,DemoHistory[#Headers],0)))</f>
        <v/>
      </c>
      <c r="D1011" s="166" t="str">
        <f>IF($A1011&gt;MIN($A$10,$A$2),"",IF(AND($A$12,$A$6=1,B1011&lt;$A$7,$A$7&lt;=MAX(DemoHistory[Date])),$A$8,1))</f>
        <v/>
      </c>
      <c r="E1011" s="166" t="str">
        <f t="shared" si="45"/>
        <v/>
      </c>
      <c r="F1011" s="166" t="str">
        <f>IF($A1011&gt;MIN($A$10,$A$2),"",IF($A1011&lt;50,"n.a.",IF(COUNT(INDEX(StockDaily[Adjusted close],MAX(1,$A1011-50+1)):E1011)=50,AVERAGE(INDEX(StockDaily[Adjusted close],MAX(1,$A1011-50+1)):E1011),"n.a.")))</f>
        <v/>
      </c>
      <c r="G1011" s="166" t="str">
        <f>IF($A1011&gt;MIN($A$10,$A$2),"",IF($A1011&lt;200,"n.a.",IF(COUNT(INDEX(StockDaily[Adjusted close],MAX(1,$A1011-200+1)):E1011)=200,AVERAGE(INDEX(StockDaily[Adjusted close],MAX(1,$A1011-200+1)):E1011),"n.a.")))</f>
        <v/>
      </c>
      <c r="H1011" s="136" t="str">
        <f>IF($A1011&gt;MIN($A$10,$A$2),"",IF($A$5="","Choose stock",IF(NOT($A$12),"Check split rule",IF(NOT(ISNUMBER(B1011)),"Invalid date",IF(OR(B1011&lt;=0,B1011&lt;&gt;INT(B1011)),"Invalid date",IF(COUNTIFS(DemoHistory[Date],B1011)&lt;&gt;1,"Duplicate date",IF(AND($A1011&gt;1,B1011&lt;=B1010),"Dates out of order",IF(NOT(ISNUMBER(C1011)),"Missing price",IF(C1011&lt;=0,"Nonpositive price","OK")))))))))</f>
        <v/>
      </c>
      <c r="I1011" s="136"/>
      <c r="J1011" s="136"/>
      <c r="K1011" s="136"/>
      <c r="L1011" s="136"/>
      <c r="M1011" s="136"/>
      <c r="N1011" s="136" t="e">
        <f t="shared" si="46"/>
        <v>#N/A</v>
      </c>
      <c r="O1011" s="136" t="e">
        <f t="shared" si="47"/>
        <v>#N/A</v>
      </c>
    </row>
    <row r="1012" spans="1:15" ht="22.05" customHeight="1" x14ac:dyDescent="0.3">
      <c r="A1012" s="136">
        <v>968</v>
      </c>
      <c r="B1012" s="165" t="str">
        <f>IF($A1012&gt;MIN($A$10,$A$2),"",INDEX(DemoHistory[Date],$A1012))</f>
        <v/>
      </c>
      <c r="C1012" s="166" t="str">
        <f>IF(OR($A1012&gt;MIN($A$10,$A$2),$A$5=""),"",INDEX(DemoHistory[],$A1012,MATCH($A$5,DemoHistory[#Headers],0)))</f>
        <v/>
      </c>
      <c r="D1012" s="166" t="str">
        <f>IF($A1012&gt;MIN($A$10,$A$2),"",IF(AND($A$12,$A$6=1,B1012&lt;$A$7,$A$7&lt;=MAX(DemoHistory[Date])),$A$8,1))</f>
        <v/>
      </c>
      <c r="E1012" s="166" t="str">
        <f t="shared" si="45"/>
        <v/>
      </c>
      <c r="F1012" s="166" t="str">
        <f>IF($A1012&gt;MIN($A$10,$A$2),"",IF($A1012&lt;50,"n.a.",IF(COUNT(INDEX(StockDaily[Adjusted close],MAX(1,$A1012-50+1)):E1012)=50,AVERAGE(INDEX(StockDaily[Adjusted close],MAX(1,$A1012-50+1)):E1012),"n.a.")))</f>
        <v/>
      </c>
      <c r="G1012" s="166" t="str">
        <f>IF($A1012&gt;MIN($A$10,$A$2),"",IF($A1012&lt;200,"n.a.",IF(COUNT(INDEX(StockDaily[Adjusted close],MAX(1,$A1012-200+1)):E1012)=200,AVERAGE(INDEX(StockDaily[Adjusted close],MAX(1,$A1012-200+1)):E1012),"n.a.")))</f>
        <v/>
      </c>
      <c r="H1012" s="136" t="str">
        <f>IF($A1012&gt;MIN($A$10,$A$2),"",IF($A$5="","Choose stock",IF(NOT($A$12),"Check split rule",IF(NOT(ISNUMBER(B1012)),"Invalid date",IF(OR(B1012&lt;=0,B1012&lt;&gt;INT(B1012)),"Invalid date",IF(COUNTIFS(DemoHistory[Date],B1012)&lt;&gt;1,"Duplicate date",IF(AND($A1012&gt;1,B1012&lt;=B1011),"Dates out of order",IF(NOT(ISNUMBER(C1012)),"Missing price",IF(C1012&lt;=0,"Nonpositive price","OK")))))))))</f>
        <v/>
      </c>
      <c r="I1012" s="136"/>
      <c r="J1012" s="136"/>
      <c r="K1012" s="136"/>
      <c r="L1012" s="136"/>
      <c r="M1012" s="136"/>
      <c r="N1012" s="136" t="e">
        <f t="shared" si="46"/>
        <v>#N/A</v>
      </c>
      <c r="O1012" s="136" t="e">
        <f t="shared" si="47"/>
        <v>#N/A</v>
      </c>
    </row>
    <row r="1013" spans="1:15" ht="22.05" customHeight="1" x14ac:dyDescent="0.3">
      <c r="A1013" s="136">
        <v>969</v>
      </c>
      <c r="B1013" s="165" t="str">
        <f>IF($A1013&gt;MIN($A$10,$A$2),"",INDEX(DemoHistory[Date],$A1013))</f>
        <v/>
      </c>
      <c r="C1013" s="166" t="str">
        <f>IF(OR($A1013&gt;MIN($A$10,$A$2),$A$5=""),"",INDEX(DemoHistory[],$A1013,MATCH($A$5,DemoHistory[#Headers],0)))</f>
        <v/>
      </c>
      <c r="D1013" s="166" t="str">
        <f>IF($A1013&gt;MIN($A$10,$A$2),"",IF(AND($A$12,$A$6=1,B1013&lt;$A$7,$A$7&lt;=MAX(DemoHistory[Date])),$A$8,1))</f>
        <v/>
      </c>
      <c r="E1013" s="166" t="str">
        <f t="shared" si="45"/>
        <v/>
      </c>
      <c r="F1013" s="166" t="str">
        <f>IF($A1013&gt;MIN($A$10,$A$2),"",IF($A1013&lt;50,"n.a.",IF(COUNT(INDEX(StockDaily[Adjusted close],MAX(1,$A1013-50+1)):E1013)=50,AVERAGE(INDEX(StockDaily[Adjusted close],MAX(1,$A1013-50+1)):E1013),"n.a.")))</f>
        <v/>
      </c>
      <c r="G1013" s="166" t="str">
        <f>IF($A1013&gt;MIN($A$10,$A$2),"",IF($A1013&lt;200,"n.a.",IF(COUNT(INDEX(StockDaily[Adjusted close],MAX(1,$A1013-200+1)):E1013)=200,AVERAGE(INDEX(StockDaily[Adjusted close],MAX(1,$A1013-200+1)):E1013),"n.a.")))</f>
        <v/>
      </c>
      <c r="H1013" s="136" t="str">
        <f>IF($A1013&gt;MIN($A$10,$A$2),"",IF($A$5="","Choose stock",IF(NOT($A$12),"Check split rule",IF(NOT(ISNUMBER(B1013)),"Invalid date",IF(OR(B1013&lt;=0,B1013&lt;&gt;INT(B1013)),"Invalid date",IF(COUNTIFS(DemoHistory[Date],B1013)&lt;&gt;1,"Duplicate date",IF(AND($A1013&gt;1,B1013&lt;=B1012),"Dates out of order",IF(NOT(ISNUMBER(C1013)),"Missing price",IF(C1013&lt;=0,"Nonpositive price","OK")))))))))</f>
        <v/>
      </c>
      <c r="I1013" s="136"/>
      <c r="J1013" s="136"/>
      <c r="K1013" s="136"/>
      <c r="L1013" s="136"/>
      <c r="M1013" s="136"/>
      <c r="N1013" s="136" t="e">
        <f t="shared" si="46"/>
        <v>#N/A</v>
      </c>
      <c r="O1013" s="136" t="e">
        <f t="shared" si="47"/>
        <v>#N/A</v>
      </c>
    </row>
    <row r="1014" spans="1:15" ht="22.05" customHeight="1" x14ac:dyDescent="0.3">
      <c r="A1014" s="136">
        <v>970</v>
      </c>
      <c r="B1014" s="165" t="str">
        <f>IF($A1014&gt;MIN($A$10,$A$2),"",INDEX(DemoHistory[Date],$A1014))</f>
        <v/>
      </c>
      <c r="C1014" s="166" t="str">
        <f>IF(OR($A1014&gt;MIN($A$10,$A$2),$A$5=""),"",INDEX(DemoHistory[],$A1014,MATCH($A$5,DemoHistory[#Headers],0)))</f>
        <v/>
      </c>
      <c r="D1014" s="166" t="str">
        <f>IF($A1014&gt;MIN($A$10,$A$2),"",IF(AND($A$12,$A$6=1,B1014&lt;$A$7,$A$7&lt;=MAX(DemoHistory[Date])),$A$8,1))</f>
        <v/>
      </c>
      <c r="E1014" s="166" t="str">
        <f t="shared" si="45"/>
        <v/>
      </c>
      <c r="F1014" s="166" t="str">
        <f>IF($A1014&gt;MIN($A$10,$A$2),"",IF($A1014&lt;50,"n.a.",IF(COUNT(INDEX(StockDaily[Adjusted close],MAX(1,$A1014-50+1)):E1014)=50,AVERAGE(INDEX(StockDaily[Adjusted close],MAX(1,$A1014-50+1)):E1014),"n.a.")))</f>
        <v/>
      </c>
      <c r="G1014" s="166" t="str">
        <f>IF($A1014&gt;MIN($A$10,$A$2),"",IF($A1014&lt;200,"n.a.",IF(COUNT(INDEX(StockDaily[Adjusted close],MAX(1,$A1014-200+1)):E1014)=200,AVERAGE(INDEX(StockDaily[Adjusted close],MAX(1,$A1014-200+1)):E1014),"n.a.")))</f>
        <v/>
      </c>
      <c r="H1014" s="136" t="str">
        <f>IF($A1014&gt;MIN($A$10,$A$2),"",IF($A$5="","Choose stock",IF(NOT($A$12),"Check split rule",IF(NOT(ISNUMBER(B1014)),"Invalid date",IF(OR(B1014&lt;=0,B1014&lt;&gt;INT(B1014)),"Invalid date",IF(COUNTIFS(DemoHistory[Date],B1014)&lt;&gt;1,"Duplicate date",IF(AND($A1014&gt;1,B1014&lt;=B1013),"Dates out of order",IF(NOT(ISNUMBER(C1014)),"Missing price",IF(C1014&lt;=0,"Nonpositive price","OK")))))))))</f>
        <v/>
      </c>
      <c r="I1014" s="136"/>
      <c r="J1014" s="136"/>
      <c r="K1014" s="136"/>
      <c r="L1014" s="136"/>
      <c r="M1014" s="136"/>
      <c r="N1014" s="136" t="e">
        <f t="shared" si="46"/>
        <v>#N/A</v>
      </c>
      <c r="O1014" s="136" t="e">
        <f t="shared" si="47"/>
        <v>#N/A</v>
      </c>
    </row>
    <row r="1015" spans="1:15" ht="22.05" customHeight="1" x14ac:dyDescent="0.3">
      <c r="A1015" s="136">
        <v>971</v>
      </c>
      <c r="B1015" s="165" t="str">
        <f>IF($A1015&gt;MIN($A$10,$A$2),"",INDEX(DemoHistory[Date],$A1015))</f>
        <v/>
      </c>
      <c r="C1015" s="166" t="str">
        <f>IF(OR($A1015&gt;MIN($A$10,$A$2),$A$5=""),"",INDEX(DemoHistory[],$A1015,MATCH($A$5,DemoHistory[#Headers],0)))</f>
        <v/>
      </c>
      <c r="D1015" s="166" t="str">
        <f>IF($A1015&gt;MIN($A$10,$A$2),"",IF(AND($A$12,$A$6=1,B1015&lt;$A$7,$A$7&lt;=MAX(DemoHistory[Date])),$A$8,1))</f>
        <v/>
      </c>
      <c r="E1015" s="166" t="str">
        <f t="shared" si="45"/>
        <v/>
      </c>
      <c r="F1015" s="166" t="str">
        <f>IF($A1015&gt;MIN($A$10,$A$2),"",IF($A1015&lt;50,"n.a.",IF(COUNT(INDEX(StockDaily[Adjusted close],MAX(1,$A1015-50+1)):E1015)=50,AVERAGE(INDEX(StockDaily[Adjusted close],MAX(1,$A1015-50+1)):E1015),"n.a.")))</f>
        <v/>
      </c>
      <c r="G1015" s="166" t="str">
        <f>IF($A1015&gt;MIN($A$10,$A$2),"",IF($A1015&lt;200,"n.a.",IF(COUNT(INDEX(StockDaily[Adjusted close],MAX(1,$A1015-200+1)):E1015)=200,AVERAGE(INDEX(StockDaily[Adjusted close],MAX(1,$A1015-200+1)):E1015),"n.a.")))</f>
        <v/>
      </c>
      <c r="H1015" s="136" t="str">
        <f>IF($A1015&gt;MIN($A$10,$A$2),"",IF($A$5="","Choose stock",IF(NOT($A$12),"Check split rule",IF(NOT(ISNUMBER(B1015)),"Invalid date",IF(OR(B1015&lt;=0,B1015&lt;&gt;INT(B1015)),"Invalid date",IF(COUNTIFS(DemoHistory[Date],B1015)&lt;&gt;1,"Duplicate date",IF(AND($A1015&gt;1,B1015&lt;=B1014),"Dates out of order",IF(NOT(ISNUMBER(C1015)),"Missing price",IF(C1015&lt;=0,"Nonpositive price","OK")))))))))</f>
        <v/>
      </c>
      <c r="I1015" s="136"/>
      <c r="J1015" s="136"/>
      <c r="K1015" s="136"/>
      <c r="L1015" s="136"/>
      <c r="M1015" s="136"/>
      <c r="N1015" s="136" t="e">
        <f t="shared" si="46"/>
        <v>#N/A</v>
      </c>
      <c r="O1015" s="136" t="e">
        <f t="shared" si="47"/>
        <v>#N/A</v>
      </c>
    </row>
    <row r="1016" spans="1:15" ht="22.05" customHeight="1" x14ac:dyDescent="0.3">
      <c r="A1016" s="136">
        <v>972</v>
      </c>
      <c r="B1016" s="165" t="str">
        <f>IF($A1016&gt;MIN($A$10,$A$2),"",INDEX(DemoHistory[Date],$A1016))</f>
        <v/>
      </c>
      <c r="C1016" s="166" t="str">
        <f>IF(OR($A1016&gt;MIN($A$10,$A$2),$A$5=""),"",INDEX(DemoHistory[],$A1016,MATCH($A$5,DemoHistory[#Headers],0)))</f>
        <v/>
      </c>
      <c r="D1016" s="166" t="str">
        <f>IF($A1016&gt;MIN($A$10,$A$2),"",IF(AND($A$12,$A$6=1,B1016&lt;$A$7,$A$7&lt;=MAX(DemoHistory[Date])),$A$8,1))</f>
        <v/>
      </c>
      <c r="E1016" s="166" t="str">
        <f t="shared" si="45"/>
        <v/>
      </c>
      <c r="F1016" s="166" t="str">
        <f>IF($A1016&gt;MIN($A$10,$A$2),"",IF($A1016&lt;50,"n.a.",IF(COUNT(INDEX(StockDaily[Adjusted close],MAX(1,$A1016-50+1)):E1016)=50,AVERAGE(INDEX(StockDaily[Adjusted close],MAX(1,$A1016-50+1)):E1016),"n.a.")))</f>
        <v/>
      </c>
      <c r="G1016" s="166" t="str">
        <f>IF($A1016&gt;MIN($A$10,$A$2),"",IF($A1016&lt;200,"n.a.",IF(COUNT(INDEX(StockDaily[Adjusted close],MAX(1,$A1016-200+1)):E1016)=200,AVERAGE(INDEX(StockDaily[Adjusted close],MAX(1,$A1016-200+1)):E1016),"n.a.")))</f>
        <v/>
      </c>
      <c r="H1016" s="136" t="str">
        <f>IF($A1016&gt;MIN($A$10,$A$2),"",IF($A$5="","Choose stock",IF(NOT($A$12),"Check split rule",IF(NOT(ISNUMBER(B1016)),"Invalid date",IF(OR(B1016&lt;=0,B1016&lt;&gt;INT(B1016)),"Invalid date",IF(COUNTIFS(DemoHistory[Date],B1016)&lt;&gt;1,"Duplicate date",IF(AND($A1016&gt;1,B1016&lt;=B1015),"Dates out of order",IF(NOT(ISNUMBER(C1016)),"Missing price",IF(C1016&lt;=0,"Nonpositive price","OK")))))))))</f>
        <v/>
      </c>
      <c r="I1016" s="136"/>
      <c r="J1016" s="136"/>
      <c r="K1016" s="136"/>
      <c r="L1016" s="136"/>
      <c r="M1016" s="136"/>
      <c r="N1016" s="136" t="e">
        <f t="shared" si="46"/>
        <v>#N/A</v>
      </c>
      <c r="O1016" s="136" t="e">
        <f t="shared" si="47"/>
        <v>#N/A</v>
      </c>
    </row>
    <row r="1017" spans="1:15" ht="22.05" customHeight="1" x14ac:dyDescent="0.3">
      <c r="A1017" s="136">
        <v>973</v>
      </c>
      <c r="B1017" s="165" t="str">
        <f>IF($A1017&gt;MIN($A$10,$A$2),"",INDEX(DemoHistory[Date],$A1017))</f>
        <v/>
      </c>
      <c r="C1017" s="166" t="str">
        <f>IF(OR($A1017&gt;MIN($A$10,$A$2),$A$5=""),"",INDEX(DemoHistory[],$A1017,MATCH($A$5,DemoHistory[#Headers],0)))</f>
        <v/>
      </c>
      <c r="D1017" s="166" t="str">
        <f>IF($A1017&gt;MIN($A$10,$A$2),"",IF(AND($A$12,$A$6=1,B1017&lt;$A$7,$A$7&lt;=MAX(DemoHistory[Date])),$A$8,1))</f>
        <v/>
      </c>
      <c r="E1017" s="166" t="str">
        <f t="shared" si="45"/>
        <v/>
      </c>
      <c r="F1017" s="166" t="str">
        <f>IF($A1017&gt;MIN($A$10,$A$2),"",IF($A1017&lt;50,"n.a.",IF(COUNT(INDEX(StockDaily[Adjusted close],MAX(1,$A1017-50+1)):E1017)=50,AVERAGE(INDEX(StockDaily[Adjusted close],MAX(1,$A1017-50+1)):E1017),"n.a.")))</f>
        <v/>
      </c>
      <c r="G1017" s="166" t="str">
        <f>IF($A1017&gt;MIN($A$10,$A$2),"",IF($A1017&lt;200,"n.a.",IF(COUNT(INDEX(StockDaily[Adjusted close],MAX(1,$A1017-200+1)):E1017)=200,AVERAGE(INDEX(StockDaily[Adjusted close],MAX(1,$A1017-200+1)):E1017),"n.a.")))</f>
        <v/>
      </c>
      <c r="H1017" s="136" t="str">
        <f>IF($A1017&gt;MIN($A$10,$A$2),"",IF($A$5="","Choose stock",IF(NOT($A$12),"Check split rule",IF(NOT(ISNUMBER(B1017)),"Invalid date",IF(OR(B1017&lt;=0,B1017&lt;&gt;INT(B1017)),"Invalid date",IF(COUNTIFS(DemoHistory[Date],B1017)&lt;&gt;1,"Duplicate date",IF(AND($A1017&gt;1,B1017&lt;=B1016),"Dates out of order",IF(NOT(ISNUMBER(C1017)),"Missing price",IF(C1017&lt;=0,"Nonpositive price","OK")))))))))</f>
        <v/>
      </c>
      <c r="I1017" s="136"/>
      <c r="J1017" s="136"/>
      <c r="K1017" s="136"/>
      <c r="L1017" s="136"/>
      <c r="M1017" s="136"/>
      <c r="N1017" s="136" t="e">
        <f t="shared" si="46"/>
        <v>#N/A</v>
      </c>
      <c r="O1017" s="136" t="e">
        <f t="shared" si="47"/>
        <v>#N/A</v>
      </c>
    </row>
    <row r="1018" spans="1:15" ht="22.05" customHeight="1" x14ac:dyDescent="0.3">
      <c r="A1018" s="136">
        <v>974</v>
      </c>
      <c r="B1018" s="165" t="str">
        <f>IF($A1018&gt;MIN($A$10,$A$2),"",INDEX(DemoHistory[Date],$A1018))</f>
        <v/>
      </c>
      <c r="C1018" s="166" t="str">
        <f>IF(OR($A1018&gt;MIN($A$10,$A$2),$A$5=""),"",INDEX(DemoHistory[],$A1018,MATCH($A$5,DemoHistory[#Headers],0)))</f>
        <v/>
      </c>
      <c r="D1018" s="166" t="str">
        <f>IF($A1018&gt;MIN($A$10,$A$2),"",IF(AND($A$12,$A$6=1,B1018&lt;$A$7,$A$7&lt;=MAX(DemoHistory[Date])),$A$8,1))</f>
        <v/>
      </c>
      <c r="E1018" s="166" t="str">
        <f t="shared" si="45"/>
        <v/>
      </c>
      <c r="F1018" s="166" t="str">
        <f>IF($A1018&gt;MIN($A$10,$A$2),"",IF($A1018&lt;50,"n.a.",IF(COUNT(INDEX(StockDaily[Adjusted close],MAX(1,$A1018-50+1)):E1018)=50,AVERAGE(INDEX(StockDaily[Adjusted close],MAX(1,$A1018-50+1)):E1018),"n.a.")))</f>
        <v/>
      </c>
      <c r="G1018" s="166" t="str">
        <f>IF($A1018&gt;MIN($A$10,$A$2),"",IF($A1018&lt;200,"n.a.",IF(COUNT(INDEX(StockDaily[Adjusted close],MAX(1,$A1018-200+1)):E1018)=200,AVERAGE(INDEX(StockDaily[Adjusted close],MAX(1,$A1018-200+1)):E1018),"n.a.")))</f>
        <v/>
      </c>
      <c r="H1018" s="136" t="str">
        <f>IF($A1018&gt;MIN($A$10,$A$2),"",IF($A$5="","Choose stock",IF(NOT($A$12),"Check split rule",IF(NOT(ISNUMBER(B1018)),"Invalid date",IF(OR(B1018&lt;=0,B1018&lt;&gt;INT(B1018)),"Invalid date",IF(COUNTIFS(DemoHistory[Date],B1018)&lt;&gt;1,"Duplicate date",IF(AND($A1018&gt;1,B1018&lt;=B1017),"Dates out of order",IF(NOT(ISNUMBER(C1018)),"Missing price",IF(C1018&lt;=0,"Nonpositive price","OK")))))))))</f>
        <v/>
      </c>
      <c r="I1018" s="136"/>
      <c r="J1018" s="136"/>
      <c r="K1018" s="136"/>
      <c r="L1018" s="136"/>
      <c r="M1018" s="136"/>
      <c r="N1018" s="136" t="e">
        <f t="shared" si="46"/>
        <v>#N/A</v>
      </c>
      <c r="O1018" s="136" t="e">
        <f t="shared" si="47"/>
        <v>#N/A</v>
      </c>
    </row>
    <row r="1019" spans="1:15" ht="22.05" customHeight="1" x14ac:dyDescent="0.3">
      <c r="A1019" s="136">
        <v>975</v>
      </c>
      <c r="B1019" s="165" t="str">
        <f>IF($A1019&gt;MIN($A$10,$A$2),"",INDEX(DemoHistory[Date],$A1019))</f>
        <v/>
      </c>
      <c r="C1019" s="166" t="str">
        <f>IF(OR($A1019&gt;MIN($A$10,$A$2),$A$5=""),"",INDEX(DemoHistory[],$A1019,MATCH($A$5,DemoHistory[#Headers],0)))</f>
        <v/>
      </c>
      <c r="D1019" s="166" t="str">
        <f>IF($A1019&gt;MIN($A$10,$A$2),"",IF(AND($A$12,$A$6=1,B1019&lt;$A$7,$A$7&lt;=MAX(DemoHistory[Date])),$A$8,1))</f>
        <v/>
      </c>
      <c r="E1019" s="166" t="str">
        <f t="shared" si="45"/>
        <v/>
      </c>
      <c r="F1019" s="166" t="str">
        <f>IF($A1019&gt;MIN($A$10,$A$2),"",IF($A1019&lt;50,"n.a.",IF(COUNT(INDEX(StockDaily[Adjusted close],MAX(1,$A1019-50+1)):E1019)=50,AVERAGE(INDEX(StockDaily[Adjusted close],MAX(1,$A1019-50+1)):E1019),"n.a.")))</f>
        <v/>
      </c>
      <c r="G1019" s="166" t="str">
        <f>IF($A1019&gt;MIN($A$10,$A$2),"",IF($A1019&lt;200,"n.a.",IF(COUNT(INDEX(StockDaily[Adjusted close],MAX(1,$A1019-200+1)):E1019)=200,AVERAGE(INDEX(StockDaily[Adjusted close],MAX(1,$A1019-200+1)):E1019),"n.a.")))</f>
        <v/>
      </c>
      <c r="H1019" s="136" t="str">
        <f>IF($A1019&gt;MIN($A$10,$A$2),"",IF($A$5="","Choose stock",IF(NOT($A$12),"Check split rule",IF(NOT(ISNUMBER(B1019)),"Invalid date",IF(OR(B1019&lt;=0,B1019&lt;&gt;INT(B1019)),"Invalid date",IF(COUNTIFS(DemoHistory[Date],B1019)&lt;&gt;1,"Duplicate date",IF(AND($A1019&gt;1,B1019&lt;=B1018),"Dates out of order",IF(NOT(ISNUMBER(C1019)),"Missing price",IF(C1019&lt;=0,"Nonpositive price","OK")))))))))</f>
        <v/>
      </c>
      <c r="I1019" s="136"/>
      <c r="J1019" s="136"/>
      <c r="K1019" s="136"/>
      <c r="L1019" s="136"/>
      <c r="M1019" s="136"/>
      <c r="N1019" s="136" t="e">
        <f t="shared" si="46"/>
        <v>#N/A</v>
      </c>
      <c r="O1019" s="136" t="e">
        <f t="shared" si="47"/>
        <v>#N/A</v>
      </c>
    </row>
    <row r="1020" spans="1:15" ht="22.05" customHeight="1" x14ac:dyDescent="0.3">
      <c r="A1020" s="136">
        <v>976</v>
      </c>
      <c r="B1020" s="165" t="str">
        <f>IF($A1020&gt;MIN($A$10,$A$2),"",INDEX(DemoHistory[Date],$A1020))</f>
        <v/>
      </c>
      <c r="C1020" s="166" t="str">
        <f>IF(OR($A1020&gt;MIN($A$10,$A$2),$A$5=""),"",INDEX(DemoHistory[],$A1020,MATCH($A$5,DemoHistory[#Headers],0)))</f>
        <v/>
      </c>
      <c r="D1020" s="166" t="str">
        <f>IF($A1020&gt;MIN($A$10,$A$2),"",IF(AND($A$12,$A$6=1,B1020&lt;$A$7,$A$7&lt;=MAX(DemoHistory[Date])),$A$8,1))</f>
        <v/>
      </c>
      <c r="E1020" s="166" t="str">
        <f t="shared" si="45"/>
        <v/>
      </c>
      <c r="F1020" s="166" t="str">
        <f>IF($A1020&gt;MIN($A$10,$A$2),"",IF($A1020&lt;50,"n.a.",IF(COUNT(INDEX(StockDaily[Adjusted close],MAX(1,$A1020-50+1)):E1020)=50,AVERAGE(INDEX(StockDaily[Adjusted close],MAX(1,$A1020-50+1)):E1020),"n.a.")))</f>
        <v/>
      </c>
      <c r="G1020" s="166" t="str">
        <f>IF($A1020&gt;MIN($A$10,$A$2),"",IF($A1020&lt;200,"n.a.",IF(COUNT(INDEX(StockDaily[Adjusted close],MAX(1,$A1020-200+1)):E1020)=200,AVERAGE(INDEX(StockDaily[Adjusted close],MAX(1,$A1020-200+1)):E1020),"n.a.")))</f>
        <v/>
      </c>
      <c r="H1020" s="136" t="str">
        <f>IF($A1020&gt;MIN($A$10,$A$2),"",IF($A$5="","Choose stock",IF(NOT($A$12),"Check split rule",IF(NOT(ISNUMBER(B1020)),"Invalid date",IF(OR(B1020&lt;=0,B1020&lt;&gt;INT(B1020)),"Invalid date",IF(COUNTIFS(DemoHistory[Date],B1020)&lt;&gt;1,"Duplicate date",IF(AND($A1020&gt;1,B1020&lt;=B1019),"Dates out of order",IF(NOT(ISNUMBER(C1020)),"Missing price",IF(C1020&lt;=0,"Nonpositive price","OK")))))))))</f>
        <v/>
      </c>
      <c r="I1020" s="136"/>
      <c r="J1020" s="136"/>
      <c r="K1020" s="136"/>
      <c r="L1020" s="136"/>
      <c r="M1020" s="136"/>
      <c r="N1020" s="136" t="e">
        <f t="shared" si="46"/>
        <v>#N/A</v>
      </c>
      <c r="O1020" s="136" t="e">
        <f t="shared" si="47"/>
        <v>#N/A</v>
      </c>
    </row>
    <row r="1021" spans="1:15" ht="22.05" customHeight="1" x14ac:dyDescent="0.3">
      <c r="A1021" s="136">
        <v>977</v>
      </c>
      <c r="B1021" s="165" t="str">
        <f>IF($A1021&gt;MIN($A$10,$A$2),"",INDEX(DemoHistory[Date],$A1021))</f>
        <v/>
      </c>
      <c r="C1021" s="166" t="str">
        <f>IF(OR($A1021&gt;MIN($A$10,$A$2),$A$5=""),"",INDEX(DemoHistory[],$A1021,MATCH($A$5,DemoHistory[#Headers],0)))</f>
        <v/>
      </c>
      <c r="D1021" s="166" t="str">
        <f>IF($A1021&gt;MIN($A$10,$A$2),"",IF(AND($A$12,$A$6=1,B1021&lt;$A$7,$A$7&lt;=MAX(DemoHistory[Date])),$A$8,1))</f>
        <v/>
      </c>
      <c r="E1021" s="166" t="str">
        <f t="shared" si="45"/>
        <v/>
      </c>
      <c r="F1021" s="166" t="str">
        <f>IF($A1021&gt;MIN($A$10,$A$2),"",IF($A1021&lt;50,"n.a.",IF(COUNT(INDEX(StockDaily[Adjusted close],MAX(1,$A1021-50+1)):E1021)=50,AVERAGE(INDEX(StockDaily[Adjusted close],MAX(1,$A1021-50+1)):E1021),"n.a.")))</f>
        <v/>
      </c>
      <c r="G1021" s="166" t="str">
        <f>IF($A1021&gt;MIN($A$10,$A$2),"",IF($A1021&lt;200,"n.a.",IF(COUNT(INDEX(StockDaily[Adjusted close],MAX(1,$A1021-200+1)):E1021)=200,AVERAGE(INDEX(StockDaily[Adjusted close],MAX(1,$A1021-200+1)):E1021),"n.a.")))</f>
        <v/>
      </c>
      <c r="H1021" s="136" t="str">
        <f>IF($A1021&gt;MIN($A$10,$A$2),"",IF($A$5="","Choose stock",IF(NOT($A$12),"Check split rule",IF(NOT(ISNUMBER(B1021)),"Invalid date",IF(OR(B1021&lt;=0,B1021&lt;&gt;INT(B1021)),"Invalid date",IF(COUNTIFS(DemoHistory[Date],B1021)&lt;&gt;1,"Duplicate date",IF(AND($A1021&gt;1,B1021&lt;=B1020),"Dates out of order",IF(NOT(ISNUMBER(C1021)),"Missing price",IF(C1021&lt;=0,"Nonpositive price","OK")))))))))</f>
        <v/>
      </c>
      <c r="I1021" s="136"/>
      <c r="J1021" s="136"/>
      <c r="K1021" s="136"/>
      <c r="L1021" s="136"/>
      <c r="M1021" s="136"/>
      <c r="N1021" s="136" t="e">
        <f t="shared" si="46"/>
        <v>#N/A</v>
      </c>
      <c r="O1021" s="136" t="e">
        <f t="shared" si="47"/>
        <v>#N/A</v>
      </c>
    </row>
    <row r="1022" spans="1:15" ht="22.05" customHeight="1" x14ac:dyDescent="0.3">
      <c r="A1022" s="136">
        <v>978</v>
      </c>
      <c r="B1022" s="165" t="str">
        <f>IF($A1022&gt;MIN($A$10,$A$2),"",INDEX(DemoHistory[Date],$A1022))</f>
        <v/>
      </c>
      <c r="C1022" s="166" t="str">
        <f>IF(OR($A1022&gt;MIN($A$10,$A$2),$A$5=""),"",INDEX(DemoHistory[],$A1022,MATCH($A$5,DemoHistory[#Headers],0)))</f>
        <v/>
      </c>
      <c r="D1022" s="166" t="str">
        <f>IF($A1022&gt;MIN($A$10,$A$2),"",IF(AND($A$12,$A$6=1,B1022&lt;$A$7,$A$7&lt;=MAX(DemoHistory[Date])),$A$8,1))</f>
        <v/>
      </c>
      <c r="E1022" s="166" t="str">
        <f t="shared" si="45"/>
        <v/>
      </c>
      <c r="F1022" s="166" t="str">
        <f>IF($A1022&gt;MIN($A$10,$A$2),"",IF($A1022&lt;50,"n.a.",IF(COUNT(INDEX(StockDaily[Adjusted close],MAX(1,$A1022-50+1)):E1022)=50,AVERAGE(INDEX(StockDaily[Adjusted close],MAX(1,$A1022-50+1)):E1022),"n.a.")))</f>
        <v/>
      </c>
      <c r="G1022" s="166" t="str">
        <f>IF($A1022&gt;MIN($A$10,$A$2),"",IF($A1022&lt;200,"n.a.",IF(COUNT(INDEX(StockDaily[Adjusted close],MAX(1,$A1022-200+1)):E1022)=200,AVERAGE(INDEX(StockDaily[Adjusted close],MAX(1,$A1022-200+1)):E1022),"n.a.")))</f>
        <v/>
      </c>
      <c r="H1022" s="136" t="str">
        <f>IF($A1022&gt;MIN($A$10,$A$2),"",IF($A$5="","Choose stock",IF(NOT($A$12),"Check split rule",IF(NOT(ISNUMBER(B1022)),"Invalid date",IF(OR(B1022&lt;=0,B1022&lt;&gt;INT(B1022)),"Invalid date",IF(COUNTIFS(DemoHistory[Date],B1022)&lt;&gt;1,"Duplicate date",IF(AND($A1022&gt;1,B1022&lt;=B1021),"Dates out of order",IF(NOT(ISNUMBER(C1022)),"Missing price",IF(C1022&lt;=0,"Nonpositive price","OK")))))))))</f>
        <v/>
      </c>
      <c r="I1022" s="136"/>
      <c r="J1022" s="136"/>
      <c r="K1022" s="136"/>
      <c r="L1022" s="136"/>
      <c r="M1022" s="136"/>
      <c r="N1022" s="136" t="e">
        <f t="shared" si="46"/>
        <v>#N/A</v>
      </c>
      <c r="O1022" s="136" t="e">
        <f t="shared" si="47"/>
        <v>#N/A</v>
      </c>
    </row>
    <row r="1023" spans="1:15" ht="22.05" customHeight="1" x14ac:dyDescent="0.3">
      <c r="A1023" s="136">
        <v>979</v>
      </c>
      <c r="B1023" s="165" t="str">
        <f>IF($A1023&gt;MIN($A$10,$A$2),"",INDEX(DemoHistory[Date],$A1023))</f>
        <v/>
      </c>
      <c r="C1023" s="166" t="str">
        <f>IF(OR($A1023&gt;MIN($A$10,$A$2),$A$5=""),"",INDEX(DemoHistory[],$A1023,MATCH($A$5,DemoHistory[#Headers],0)))</f>
        <v/>
      </c>
      <c r="D1023" s="166" t="str">
        <f>IF($A1023&gt;MIN($A$10,$A$2),"",IF(AND($A$12,$A$6=1,B1023&lt;$A$7,$A$7&lt;=MAX(DemoHistory[Date])),$A$8,1))</f>
        <v/>
      </c>
      <c r="E1023" s="166" t="str">
        <f t="shared" si="45"/>
        <v/>
      </c>
      <c r="F1023" s="166" t="str">
        <f>IF($A1023&gt;MIN($A$10,$A$2),"",IF($A1023&lt;50,"n.a.",IF(COUNT(INDEX(StockDaily[Adjusted close],MAX(1,$A1023-50+1)):E1023)=50,AVERAGE(INDEX(StockDaily[Adjusted close],MAX(1,$A1023-50+1)):E1023),"n.a.")))</f>
        <v/>
      </c>
      <c r="G1023" s="166" t="str">
        <f>IF($A1023&gt;MIN($A$10,$A$2),"",IF($A1023&lt;200,"n.a.",IF(COUNT(INDEX(StockDaily[Adjusted close],MAX(1,$A1023-200+1)):E1023)=200,AVERAGE(INDEX(StockDaily[Adjusted close],MAX(1,$A1023-200+1)):E1023),"n.a.")))</f>
        <v/>
      </c>
      <c r="H1023" s="136" t="str">
        <f>IF($A1023&gt;MIN($A$10,$A$2),"",IF($A$5="","Choose stock",IF(NOT($A$12),"Check split rule",IF(NOT(ISNUMBER(B1023)),"Invalid date",IF(OR(B1023&lt;=0,B1023&lt;&gt;INT(B1023)),"Invalid date",IF(COUNTIFS(DemoHistory[Date],B1023)&lt;&gt;1,"Duplicate date",IF(AND($A1023&gt;1,B1023&lt;=B1022),"Dates out of order",IF(NOT(ISNUMBER(C1023)),"Missing price",IF(C1023&lt;=0,"Nonpositive price","OK")))))))))</f>
        <v/>
      </c>
      <c r="I1023" s="136"/>
      <c r="J1023" s="136"/>
      <c r="K1023" s="136"/>
      <c r="L1023" s="136"/>
      <c r="M1023" s="136"/>
      <c r="N1023" s="136" t="e">
        <f t="shared" si="46"/>
        <v>#N/A</v>
      </c>
      <c r="O1023" s="136" t="e">
        <f t="shared" si="47"/>
        <v>#N/A</v>
      </c>
    </row>
    <row r="1024" spans="1:15" ht="22.05" customHeight="1" x14ac:dyDescent="0.3">
      <c r="A1024" s="136">
        <v>980</v>
      </c>
      <c r="B1024" s="165" t="str">
        <f>IF($A1024&gt;MIN($A$10,$A$2),"",INDEX(DemoHistory[Date],$A1024))</f>
        <v/>
      </c>
      <c r="C1024" s="166" t="str">
        <f>IF(OR($A1024&gt;MIN($A$10,$A$2),$A$5=""),"",INDEX(DemoHistory[],$A1024,MATCH($A$5,DemoHistory[#Headers],0)))</f>
        <v/>
      </c>
      <c r="D1024" s="166" t="str">
        <f>IF($A1024&gt;MIN($A$10,$A$2),"",IF(AND($A$12,$A$6=1,B1024&lt;$A$7,$A$7&lt;=MAX(DemoHistory[Date])),$A$8,1))</f>
        <v/>
      </c>
      <c r="E1024" s="166" t="str">
        <f t="shared" si="45"/>
        <v/>
      </c>
      <c r="F1024" s="166" t="str">
        <f>IF($A1024&gt;MIN($A$10,$A$2),"",IF($A1024&lt;50,"n.a.",IF(COUNT(INDEX(StockDaily[Adjusted close],MAX(1,$A1024-50+1)):E1024)=50,AVERAGE(INDEX(StockDaily[Adjusted close],MAX(1,$A1024-50+1)):E1024),"n.a.")))</f>
        <v/>
      </c>
      <c r="G1024" s="166" t="str">
        <f>IF($A1024&gt;MIN($A$10,$A$2),"",IF($A1024&lt;200,"n.a.",IF(COUNT(INDEX(StockDaily[Adjusted close],MAX(1,$A1024-200+1)):E1024)=200,AVERAGE(INDEX(StockDaily[Adjusted close],MAX(1,$A1024-200+1)):E1024),"n.a.")))</f>
        <v/>
      </c>
      <c r="H1024" s="136" t="str">
        <f>IF($A1024&gt;MIN($A$10,$A$2),"",IF($A$5="","Choose stock",IF(NOT($A$12),"Check split rule",IF(NOT(ISNUMBER(B1024)),"Invalid date",IF(OR(B1024&lt;=0,B1024&lt;&gt;INT(B1024)),"Invalid date",IF(COUNTIFS(DemoHistory[Date],B1024)&lt;&gt;1,"Duplicate date",IF(AND($A1024&gt;1,B1024&lt;=B1023),"Dates out of order",IF(NOT(ISNUMBER(C1024)),"Missing price",IF(C1024&lt;=0,"Nonpositive price","OK")))))))))</f>
        <v/>
      </c>
      <c r="I1024" s="136"/>
      <c r="J1024" s="136"/>
      <c r="K1024" s="136"/>
      <c r="L1024" s="136"/>
      <c r="M1024" s="136"/>
      <c r="N1024" s="136" t="e">
        <f t="shared" si="46"/>
        <v>#N/A</v>
      </c>
      <c r="O1024" s="136" t="e">
        <f t="shared" si="47"/>
        <v>#N/A</v>
      </c>
    </row>
    <row r="1025" spans="1:15" ht="22.05" customHeight="1" x14ac:dyDescent="0.3">
      <c r="A1025" s="136">
        <v>981</v>
      </c>
      <c r="B1025" s="165" t="str">
        <f>IF($A1025&gt;MIN($A$10,$A$2),"",INDEX(DemoHistory[Date],$A1025))</f>
        <v/>
      </c>
      <c r="C1025" s="166" t="str">
        <f>IF(OR($A1025&gt;MIN($A$10,$A$2),$A$5=""),"",INDEX(DemoHistory[],$A1025,MATCH($A$5,DemoHistory[#Headers],0)))</f>
        <v/>
      </c>
      <c r="D1025" s="166" t="str">
        <f>IF($A1025&gt;MIN($A$10,$A$2),"",IF(AND($A$12,$A$6=1,B1025&lt;$A$7,$A$7&lt;=MAX(DemoHistory[Date])),$A$8,1))</f>
        <v/>
      </c>
      <c r="E1025" s="166" t="str">
        <f t="shared" si="45"/>
        <v/>
      </c>
      <c r="F1025" s="166" t="str">
        <f>IF($A1025&gt;MIN($A$10,$A$2),"",IF($A1025&lt;50,"n.a.",IF(COUNT(INDEX(StockDaily[Adjusted close],MAX(1,$A1025-50+1)):E1025)=50,AVERAGE(INDEX(StockDaily[Adjusted close],MAX(1,$A1025-50+1)):E1025),"n.a.")))</f>
        <v/>
      </c>
      <c r="G1025" s="166" t="str">
        <f>IF($A1025&gt;MIN($A$10,$A$2),"",IF($A1025&lt;200,"n.a.",IF(COUNT(INDEX(StockDaily[Adjusted close],MAX(1,$A1025-200+1)):E1025)=200,AVERAGE(INDEX(StockDaily[Adjusted close],MAX(1,$A1025-200+1)):E1025),"n.a.")))</f>
        <v/>
      </c>
      <c r="H1025" s="136" t="str">
        <f>IF($A1025&gt;MIN($A$10,$A$2),"",IF($A$5="","Choose stock",IF(NOT($A$12),"Check split rule",IF(NOT(ISNUMBER(B1025)),"Invalid date",IF(OR(B1025&lt;=0,B1025&lt;&gt;INT(B1025)),"Invalid date",IF(COUNTIFS(DemoHistory[Date],B1025)&lt;&gt;1,"Duplicate date",IF(AND($A1025&gt;1,B1025&lt;=B1024),"Dates out of order",IF(NOT(ISNUMBER(C1025)),"Missing price",IF(C1025&lt;=0,"Nonpositive price","OK")))))))))</f>
        <v/>
      </c>
      <c r="I1025" s="136"/>
      <c r="J1025" s="136"/>
      <c r="K1025" s="136"/>
      <c r="L1025" s="136"/>
      <c r="M1025" s="136"/>
      <c r="N1025" s="136" t="e">
        <f t="shared" si="46"/>
        <v>#N/A</v>
      </c>
      <c r="O1025" s="136" t="e">
        <f t="shared" si="47"/>
        <v>#N/A</v>
      </c>
    </row>
    <row r="1026" spans="1:15" ht="22.05" customHeight="1" x14ac:dyDescent="0.3">
      <c r="A1026" s="136">
        <v>982</v>
      </c>
      <c r="B1026" s="165" t="str">
        <f>IF($A1026&gt;MIN($A$10,$A$2),"",INDEX(DemoHistory[Date],$A1026))</f>
        <v/>
      </c>
      <c r="C1026" s="166" t="str">
        <f>IF(OR($A1026&gt;MIN($A$10,$A$2),$A$5=""),"",INDEX(DemoHistory[],$A1026,MATCH($A$5,DemoHistory[#Headers],0)))</f>
        <v/>
      </c>
      <c r="D1026" s="166" t="str">
        <f>IF($A1026&gt;MIN($A$10,$A$2),"",IF(AND($A$12,$A$6=1,B1026&lt;$A$7,$A$7&lt;=MAX(DemoHistory[Date])),$A$8,1))</f>
        <v/>
      </c>
      <c r="E1026" s="166" t="str">
        <f t="shared" si="45"/>
        <v/>
      </c>
      <c r="F1026" s="166" t="str">
        <f>IF($A1026&gt;MIN($A$10,$A$2),"",IF($A1026&lt;50,"n.a.",IF(COUNT(INDEX(StockDaily[Adjusted close],MAX(1,$A1026-50+1)):E1026)=50,AVERAGE(INDEX(StockDaily[Adjusted close],MAX(1,$A1026-50+1)):E1026),"n.a.")))</f>
        <v/>
      </c>
      <c r="G1026" s="166" t="str">
        <f>IF($A1026&gt;MIN($A$10,$A$2),"",IF($A1026&lt;200,"n.a.",IF(COUNT(INDEX(StockDaily[Adjusted close],MAX(1,$A1026-200+1)):E1026)=200,AVERAGE(INDEX(StockDaily[Adjusted close],MAX(1,$A1026-200+1)):E1026),"n.a.")))</f>
        <v/>
      </c>
      <c r="H1026" s="136" t="str">
        <f>IF($A1026&gt;MIN($A$10,$A$2),"",IF($A$5="","Choose stock",IF(NOT($A$12),"Check split rule",IF(NOT(ISNUMBER(B1026)),"Invalid date",IF(OR(B1026&lt;=0,B1026&lt;&gt;INT(B1026)),"Invalid date",IF(COUNTIFS(DemoHistory[Date],B1026)&lt;&gt;1,"Duplicate date",IF(AND($A1026&gt;1,B1026&lt;=B1025),"Dates out of order",IF(NOT(ISNUMBER(C1026)),"Missing price",IF(C1026&lt;=0,"Nonpositive price","OK")))))))))</f>
        <v/>
      </c>
      <c r="I1026" s="136"/>
      <c r="J1026" s="136"/>
      <c r="K1026" s="136"/>
      <c r="L1026" s="136"/>
      <c r="M1026" s="136"/>
      <c r="N1026" s="136" t="e">
        <f t="shared" si="46"/>
        <v>#N/A</v>
      </c>
      <c r="O1026" s="136" t="e">
        <f t="shared" si="47"/>
        <v>#N/A</v>
      </c>
    </row>
    <row r="1027" spans="1:15" ht="22.05" customHeight="1" x14ac:dyDescent="0.3">
      <c r="A1027" s="136">
        <v>983</v>
      </c>
      <c r="B1027" s="165" t="str">
        <f>IF($A1027&gt;MIN($A$10,$A$2),"",INDEX(DemoHistory[Date],$A1027))</f>
        <v/>
      </c>
      <c r="C1027" s="166" t="str">
        <f>IF(OR($A1027&gt;MIN($A$10,$A$2),$A$5=""),"",INDEX(DemoHistory[],$A1027,MATCH($A$5,DemoHistory[#Headers],0)))</f>
        <v/>
      </c>
      <c r="D1027" s="166" t="str">
        <f>IF($A1027&gt;MIN($A$10,$A$2),"",IF(AND($A$12,$A$6=1,B1027&lt;$A$7,$A$7&lt;=MAX(DemoHistory[Date])),$A$8,1))</f>
        <v/>
      </c>
      <c r="E1027" s="166" t="str">
        <f t="shared" si="45"/>
        <v/>
      </c>
      <c r="F1027" s="166" t="str">
        <f>IF($A1027&gt;MIN($A$10,$A$2),"",IF($A1027&lt;50,"n.a.",IF(COUNT(INDEX(StockDaily[Adjusted close],MAX(1,$A1027-50+1)):E1027)=50,AVERAGE(INDEX(StockDaily[Adjusted close],MAX(1,$A1027-50+1)):E1027),"n.a.")))</f>
        <v/>
      </c>
      <c r="G1027" s="166" t="str">
        <f>IF($A1027&gt;MIN($A$10,$A$2),"",IF($A1027&lt;200,"n.a.",IF(COUNT(INDEX(StockDaily[Adjusted close],MAX(1,$A1027-200+1)):E1027)=200,AVERAGE(INDEX(StockDaily[Adjusted close],MAX(1,$A1027-200+1)):E1027),"n.a.")))</f>
        <v/>
      </c>
      <c r="H1027" s="136" t="str">
        <f>IF($A1027&gt;MIN($A$10,$A$2),"",IF($A$5="","Choose stock",IF(NOT($A$12),"Check split rule",IF(NOT(ISNUMBER(B1027)),"Invalid date",IF(OR(B1027&lt;=0,B1027&lt;&gt;INT(B1027)),"Invalid date",IF(COUNTIFS(DemoHistory[Date],B1027)&lt;&gt;1,"Duplicate date",IF(AND($A1027&gt;1,B1027&lt;=B1026),"Dates out of order",IF(NOT(ISNUMBER(C1027)),"Missing price",IF(C1027&lt;=0,"Nonpositive price","OK")))))))))</f>
        <v/>
      </c>
      <c r="I1027" s="136"/>
      <c r="J1027" s="136"/>
      <c r="K1027" s="136"/>
      <c r="L1027" s="136"/>
      <c r="M1027" s="136"/>
      <c r="N1027" s="136" t="e">
        <f t="shared" si="46"/>
        <v>#N/A</v>
      </c>
      <c r="O1027" s="136" t="e">
        <f t="shared" si="47"/>
        <v>#N/A</v>
      </c>
    </row>
    <row r="1028" spans="1:15" ht="22.05" customHeight="1" x14ac:dyDescent="0.3">
      <c r="A1028" s="136">
        <v>984</v>
      </c>
      <c r="B1028" s="165" t="str">
        <f>IF($A1028&gt;MIN($A$10,$A$2),"",INDEX(DemoHistory[Date],$A1028))</f>
        <v/>
      </c>
      <c r="C1028" s="166" t="str">
        <f>IF(OR($A1028&gt;MIN($A$10,$A$2),$A$5=""),"",INDEX(DemoHistory[],$A1028,MATCH($A$5,DemoHistory[#Headers],0)))</f>
        <v/>
      </c>
      <c r="D1028" s="166" t="str">
        <f>IF($A1028&gt;MIN($A$10,$A$2),"",IF(AND($A$12,$A$6=1,B1028&lt;$A$7,$A$7&lt;=MAX(DemoHistory[Date])),$A$8,1))</f>
        <v/>
      </c>
      <c r="E1028" s="166" t="str">
        <f t="shared" si="45"/>
        <v/>
      </c>
      <c r="F1028" s="166" t="str">
        <f>IF($A1028&gt;MIN($A$10,$A$2),"",IF($A1028&lt;50,"n.a.",IF(COUNT(INDEX(StockDaily[Adjusted close],MAX(1,$A1028-50+1)):E1028)=50,AVERAGE(INDEX(StockDaily[Adjusted close],MAX(1,$A1028-50+1)):E1028),"n.a.")))</f>
        <v/>
      </c>
      <c r="G1028" s="166" t="str">
        <f>IF($A1028&gt;MIN($A$10,$A$2),"",IF($A1028&lt;200,"n.a.",IF(COUNT(INDEX(StockDaily[Adjusted close],MAX(1,$A1028-200+1)):E1028)=200,AVERAGE(INDEX(StockDaily[Adjusted close],MAX(1,$A1028-200+1)):E1028),"n.a.")))</f>
        <v/>
      </c>
      <c r="H1028" s="136" t="str">
        <f>IF($A1028&gt;MIN($A$10,$A$2),"",IF($A$5="","Choose stock",IF(NOT($A$12),"Check split rule",IF(NOT(ISNUMBER(B1028)),"Invalid date",IF(OR(B1028&lt;=0,B1028&lt;&gt;INT(B1028)),"Invalid date",IF(COUNTIFS(DemoHistory[Date],B1028)&lt;&gt;1,"Duplicate date",IF(AND($A1028&gt;1,B1028&lt;=B1027),"Dates out of order",IF(NOT(ISNUMBER(C1028)),"Missing price",IF(C1028&lt;=0,"Nonpositive price","OK")))))))))</f>
        <v/>
      </c>
      <c r="I1028" s="136"/>
      <c r="J1028" s="136"/>
      <c r="K1028" s="136"/>
      <c r="L1028" s="136"/>
      <c r="M1028" s="136"/>
      <c r="N1028" s="136" t="e">
        <f t="shared" si="46"/>
        <v>#N/A</v>
      </c>
      <c r="O1028" s="136" t="e">
        <f t="shared" si="47"/>
        <v>#N/A</v>
      </c>
    </row>
    <row r="1029" spans="1:15" ht="22.05" customHeight="1" x14ac:dyDescent="0.3">
      <c r="A1029" s="136">
        <v>985</v>
      </c>
      <c r="B1029" s="165" t="str">
        <f>IF($A1029&gt;MIN($A$10,$A$2),"",INDEX(DemoHistory[Date],$A1029))</f>
        <v/>
      </c>
      <c r="C1029" s="166" t="str">
        <f>IF(OR($A1029&gt;MIN($A$10,$A$2),$A$5=""),"",INDEX(DemoHistory[],$A1029,MATCH($A$5,DemoHistory[#Headers],0)))</f>
        <v/>
      </c>
      <c r="D1029" s="166" t="str">
        <f>IF($A1029&gt;MIN($A$10,$A$2),"",IF(AND($A$12,$A$6=1,B1029&lt;$A$7,$A$7&lt;=MAX(DemoHistory[Date])),$A$8,1))</f>
        <v/>
      </c>
      <c r="E1029" s="166" t="str">
        <f t="shared" si="45"/>
        <v/>
      </c>
      <c r="F1029" s="166" t="str">
        <f>IF($A1029&gt;MIN($A$10,$A$2),"",IF($A1029&lt;50,"n.a.",IF(COUNT(INDEX(StockDaily[Adjusted close],MAX(1,$A1029-50+1)):E1029)=50,AVERAGE(INDEX(StockDaily[Adjusted close],MAX(1,$A1029-50+1)):E1029),"n.a.")))</f>
        <v/>
      </c>
      <c r="G1029" s="166" t="str">
        <f>IF($A1029&gt;MIN($A$10,$A$2),"",IF($A1029&lt;200,"n.a.",IF(COUNT(INDEX(StockDaily[Adjusted close],MAX(1,$A1029-200+1)):E1029)=200,AVERAGE(INDEX(StockDaily[Adjusted close],MAX(1,$A1029-200+1)):E1029),"n.a.")))</f>
        <v/>
      </c>
      <c r="H1029" s="136" t="str">
        <f>IF($A1029&gt;MIN($A$10,$A$2),"",IF($A$5="","Choose stock",IF(NOT($A$12),"Check split rule",IF(NOT(ISNUMBER(B1029)),"Invalid date",IF(OR(B1029&lt;=0,B1029&lt;&gt;INT(B1029)),"Invalid date",IF(COUNTIFS(DemoHistory[Date],B1029)&lt;&gt;1,"Duplicate date",IF(AND($A1029&gt;1,B1029&lt;=B1028),"Dates out of order",IF(NOT(ISNUMBER(C1029)),"Missing price",IF(C1029&lt;=0,"Nonpositive price","OK")))))))))</f>
        <v/>
      </c>
      <c r="I1029" s="136"/>
      <c r="J1029" s="136"/>
      <c r="K1029" s="136"/>
      <c r="L1029" s="136"/>
      <c r="M1029" s="136"/>
      <c r="N1029" s="136" t="e">
        <f t="shared" si="46"/>
        <v>#N/A</v>
      </c>
      <c r="O1029" s="136" t="e">
        <f t="shared" si="47"/>
        <v>#N/A</v>
      </c>
    </row>
    <row r="1030" spans="1:15" ht="22.05" customHeight="1" x14ac:dyDescent="0.3">
      <c r="A1030" s="136">
        <v>986</v>
      </c>
      <c r="B1030" s="165" t="str">
        <f>IF($A1030&gt;MIN($A$10,$A$2),"",INDEX(DemoHistory[Date],$A1030))</f>
        <v/>
      </c>
      <c r="C1030" s="166" t="str">
        <f>IF(OR($A1030&gt;MIN($A$10,$A$2),$A$5=""),"",INDEX(DemoHistory[],$A1030,MATCH($A$5,DemoHistory[#Headers],0)))</f>
        <v/>
      </c>
      <c r="D1030" s="166" t="str">
        <f>IF($A1030&gt;MIN($A$10,$A$2),"",IF(AND($A$12,$A$6=1,B1030&lt;$A$7,$A$7&lt;=MAX(DemoHistory[Date])),$A$8,1))</f>
        <v/>
      </c>
      <c r="E1030" s="166" t="str">
        <f t="shared" si="45"/>
        <v/>
      </c>
      <c r="F1030" s="166" t="str">
        <f>IF($A1030&gt;MIN($A$10,$A$2),"",IF($A1030&lt;50,"n.a.",IF(COUNT(INDEX(StockDaily[Adjusted close],MAX(1,$A1030-50+1)):E1030)=50,AVERAGE(INDEX(StockDaily[Adjusted close],MAX(1,$A1030-50+1)):E1030),"n.a.")))</f>
        <v/>
      </c>
      <c r="G1030" s="166" t="str">
        <f>IF($A1030&gt;MIN($A$10,$A$2),"",IF($A1030&lt;200,"n.a.",IF(COUNT(INDEX(StockDaily[Adjusted close],MAX(1,$A1030-200+1)):E1030)=200,AVERAGE(INDEX(StockDaily[Adjusted close],MAX(1,$A1030-200+1)):E1030),"n.a.")))</f>
        <v/>
      </c>
      <c r="H1030" s="136" t="str">
        <f>IF($A1030&gt;MIN($A$10,$A$2),"",IF($A$5="","Choose stock",IF(NOT($A$12),"Check split rule",IF(NOT(ISNUMBER(B1030)),"Invalid date",IF(OR(B1030&lt;=0,B1030&lt;&gt;INT(B1030)),"Invalid date",IF(COUNTIFS(DemoHistory[Date],B1030)&lt;&gt;1,"Duplicate date",IF(AND($A1030&gt;1,B1030&lt;=B1029),"Dates out of order",IF(NOT(ISNUMBER(C1030)),"Missing price",IF(C1030&lt;=0,"Nonpositive price","OK")))))))))</f>
        <v/>
      </c>
      <c r="I1030" s="136"/>
      <c r="J1030" s="136"/>
      <c r="K1030" s="136"/>
      <c r="L1030" s="136"/>
      <c r="M1030" s="136"/>
      <c r="N1030" s="136" t="e">
        <f t="shared" si="46"/>
        <v>#N/A</v>
      </c>
      <c r="O1030" s="136" t="e">
        <f t="shared" si="47"/>
        <v>#N/A</v>
      </c>
    </row>
    <row r="1031" spans="1:15" ht="22.05" customHeight="1" x14ac:dyDescent="0.3">
      <c r="A1031" s="136">
        <v>987</v>
      </c>
      <c r="B1031" s="165" t="str">
        <f>IF($A1031&gt;MIN($A$10,$A$2),"",INDEX(DemoHistory[Date],$A1031))</f>
        <v/>
      </c>
      <c r="C1031" s="166" t="str">
        <f>IF(OR($A1031&gt;MIN($A$10,$A$2),$A$5=""),"",INDEX(DemoHistory[],$A1031,MATCH($A$5,DemoHistory[#Headers],0)))</f>
        <v/>
      </c>
      <c r="D1031" s="166" t="str">
        <f>IF($A1031&gt;MIN($A$10,$A$2),"",IF(AND($A$12,$A$6=1,B1031&lt;$A$7,$A$7&lt;=MAX(DemoHistory[Date])),$A$8,1))</f>
        <v/>
      </c>
      <c r="E1031" s="166" t="str">
        <f t="shared" si="45"/>
        <v/>
      </c>
      <c r="F1031" s="166" t="str">
        <f>IF($A1031&gt;MIN($A$10,$A$2),"",IF($A1031&lt;50,"n.a.",IF(COUNT(INDEX(StockDaily[Adjusted close],MAX(1,$A1031-50+1)):E1031)=50,AVERAGE(INDEX(StockDaily[Adjusted close],MAX(1,$A1031-50+1)):E1031),"n.a.")))</f>
        <v/>
      </c>
      <c r="G1031" s="166" t="str">
        <f>IF($A1031&gt;MIN($A$10,$A$2),"",IF($A1031&lt;200,"n.a.",IF(COUNT(INDEX(StockDaily[Adjusted close],MAX(1,$A1031-200+1)):E1031)=200,AVERAGE(INDEX(StockDaily[Adjusted close],MAX(1,$A1031-200+1)):E1031),"n.a.")))</f>
        <v/>
      </c>
      <c r="H1031" s="136" t="str">
        <f>IF($A1031&gt;MIN($A$10,$A$2),"",IF($A$5="","Choose stock",IF(NOT($A$12),"Check split rule",IF(NOT(ISNUMBER(B1031)),"Invalid date",IF(OR(B1031&lt;=0,B1031&lt;&gt;INT(B1031)),"Invalid date",IF(COUNTIFS(DemoHistory[Date],B1031)&lt;&gt;1,"Duplicate date",IF(AND($A1031&gt;1,B1031&lt;=B1030),"Dates out of order",IF(NOT(ISNUMBER(C1031)),"Missing price",IF(C1031&lt;=0,"Nonpositive price","OK")))))))))</f>
        <v/>
      </c>
      <c r="I1031" s="136"/>
      <c r="J1031" s="136"/>
      <c r="K1031" s="136"/>
      <c r="L1031" s="136"/>
      <c r="M1031" s="136"/>
      <c r="N1031" s="136" t="e">
        <f t="shared" si="46"/>
        <v>#N/A</v>
      </c>
      <c r="O1031" s="136" t="e">
        <f t="shared" si="47"/>
        <v>#N/A</v>
      </c>
    </row>
    <row r="1032" spans="1:15" ht="22.05" customHeight="1" x14ac:dyDescent="0.3">
      <c r="A1032" s="136">
        <v>988</v>
      </c>
      <c r="B1032" s="165" t="str">
        <f>IF($A1032&gt;MIN($A$10,$A$2),"",INDEX(DemoHistory[Date],$A1032))</f>
        <v/>
      </c>
      <c r="C1032" s="166" t="str">
        <f>IF(OR($A1032&gt;MIN($A$10,$A$2),$A$5=""),"",INDEX(DemoHistory[],$A1032,MATCH($A$5,DemoHistory[#Headers],0)))</f>
        <v/>
      </c>
      <c r="D1032" s="166" t="str">
        <f>IF($A1032&gt;MIN($A$10,$A$2),"",IF(AND($A$12,$A$6=1,B1032&lt;$A$7,$A$7&lt;=MAX(DemoHistory[Date])),$A$8,1))</f>
        <v/>
      </c>
      <c r="E1032" s="166" t="str">
        <f t="shared" si="45"/>
        <v/>
      </c>
      <c r="F1032" s="166" t="str">
        <f>IF($A1032&gt;MIN($A$10,$A$2),"",IF($A1032&lt;50,"n.a.",IF(COUNT(INDEX(StockDaily[Adjusted close],MAX(1,$A1032-50+1)):E1032)=50,AVERAGE(INDEX(StockDaily[Adjusted close],MAX(1,$A1032-50+1)):E1032),"n.a.")))</f>
        <v/>
      </c>
      <c r="G1032" s="166" t="str">
        <f>IF($A1032&gt;MIN($A$10,$A$2),"",IF($A1032&lt;200,"n.a.",IF(COUNT(INDEX(StockDaily[Adjusted close],MAX(1,$A1032-200+1)):E1032)=200,AVERAGE(INDEX(StockDaily[Adjusted close],MAX(1,$A1032-200+1)):E1032),"n.a.")))</f>
        <v/>
      </c>
      <c r="H1032" s="136" t="str">
        <f>IF($A1032&gt;MIN($A$10,$A$2),"",IF($A$5="","Choose stock",IF(NOT($A$12),"Check split rule",IF(NOT(ISNUMBER(B1032)),"Invalid date",IF(OR(B1032&lt;=0,B1032&lt;&gt;INT(B1032)),"Invalid date",IF(COUNTIFS(DemoHistory[Date],B1032)&lt;&gt;1,"Duplicate date",IF(AND($A1032&gt;1,B1032&lt;=B1031),"Dates out of order",IF(NOT(ISNUMBER(C1032)),"Missing price",IF(C1032&lt;=0,"Nonpositive price","OK")))))))))</f>
        <v/>
      </c>
      <c r="I1032" s="136"/>
      <c r="J1032" s="136"/>
      <c r="K1032" s="136"/>
      <c r="L1032" s="136"/>
      <c r="M1032" s="136"/>
      <c r="N1032" s="136" t="e">
        <f t="shared" si="46"/>
        <v>#N/A</v>
      </c>
      <c r="O1032" s="136" t="e">
        <f t="shared" si="47"/>
        <v>#N/A</v>
      </c>
    </row>
    <row r="1033" spans="1:15" ht="22.05" customHeight="1" x14ac:dyDescent="0.3">
      <c r="A1033" s="136">
        <v>989</v>
      </c>
      <c r="B1033" s="165" t="str">
        <f>IF($A1033&gt;MIN($A$10,$A$2),"",INDEX(DemoHistory[Date],$A1033))</f>
        <v/>
      </c>
      <c r="C1033" s="166" t="str">
        <f>IF(OR($A1033&gt;MIN($A$10,$A$2),$A$5=""),"",INDEX(DemoHistory[],$A1033,MATCH($A$5,DemoHistory[#Headers],0)))</f>
        <v/>
      </c>
      <c r="D1033" s="166" t="str">
        <f>IF($A1033&gt;MIN($A$10,$A$2),"",IF(AND($A$12,$A$6=1,B1033&lt;$A$7,$A$7&lt;=MAX(DemoHistory[Date])),$A$8,1))</f>
        <v/>
      </c>
      <c r="E1033" s="166" t="str">
        <f t="shared" si="45"/>
        <v/>
      </c>
      <c r="F1033" s="166" t="str">
        <f>IF($A1033&gt;MIN($A$10,$A$2),"",IF($A1033&lt;50,"n.a.",IF(COUNT(INDEX(StockDaily[Adjusted close],MAX(1,$A1033-50+1)):E1033)=50,AVERAGE(INDEX(StockDaily[Adjusted close],MAX(1,$A1033-50+1)):E1033),"n.a.")))</f>
        <v/>
      </c>
      <c r="G1033" s="166" t="str">
        <f>IF($A1033&gt;MIN($A$10,$A$2),"",IF($A1033&lt;200,"n.a.",IF(COUNT(INDEX(StockDaily[Adjusted close],MAX(1,$A1033-200+1)):E1033)=200,AVERAGE(INDEX(StockDaily[Adjusted close],MAX(1,$A1033-200+1)):E1033),"n.a.")))</f>
        <v/>
      </c>
      <c r="H1033" s="136" t="str">
        <f>IF($A1033&gt;MIN($A$10,$A$2),"",IF($A$5="","Choose stock",IF(NOT($A$12),"Check split rule",IF(NOT(ISNUMBER(B1033)),"Invalid date",IF(OR(B1033&lt;=0,B1033&lt;&gt;INT(B1033)),"Invalid date",IF(COUNTIFS(DemoHistory[Date],B1033)&lt;&gt;1,"Duplicate date",IF(AND($A1033&gt;1,B1033&lt;=B1032),"Dates out of order",IF(NOT(ISNUMBER(C1033)),"Missing price",IF(C1033&lt;=0,"Nonpositive price","OK")))))))))</f>
        <v/>
      </c>
      <c r="I1033" s="136"/>
      <c r="J1033" s="136"/>
      <c r="K1033" s="136"/>
      <c r="L1033" s="136"/>
      <c r="M1033" s="136"/>
      <c r="N1033" s="136" t="e">
        <f t="shared" si="46"/>
        <v>#N/A</v>
      </c>
      <c r="O1033" s="136" t="e">
        <f t="shared" si="47"/>
        <v>#N/A</v>
      </c>
    </row>
    <row r="1034" spans="1:15" ht="22.05" customHeight="1" x14ac:dyDescent="0.3">
      <c r="A1034" s="136">
        <v>990</v>
      </c>
      <c r="B1034" s="165" t="str">
        <f>IF($A1034&gt;MIN($A$10,$A$2),"",INDEX(DemoHistory[Date],$A1034))</f>
        <v/>
      </c>
      <c r="C1034" s="166" t="str">
        <f>IF(OR($A1034&gt;MIN($A$10,$A$2),$A$5=""),"",INDEX(DemoHistory[],$A1034,MATCH($A$5,DemoHistory[#Headers],0)))</f>
        <v/>
      </c>
      <c r="D1034" s="166" t="str">
        <f>IF($A1034&gt;MIN($A$10,$A$2),"",IF(AND($A$12,$A$6=1,B1034&lt;$A$7,$A$7&lt;=MAX(DemoHistory[Date])),$A$8,1))</f>
        <v/>
      </c>
      <c r="E1034" s="166" t="str">
        <f t="shared" si="45"/>
        <v/>
      </c>
      <c r="F1034" s="166" t="str">
        <f>IF($A1034&gt;MIN($A$10,$A$2),"",IF($A1034&lt;50,"n.a.",IF(COUNT(INDEX(StockDaily[Adjusted close],MAX(1,$A1034-50+1)):E1034)=50,AVERAGE(INDEX(StockDaily[Adjusted close],MAX(1,$A1034-50+1)):E1034),"n.a.")))</f>
        <v/>
      </c>
      <c r="G1034" s="166" t="str">
        <f>IF($A1034&gt;MIN($A$10,$A$2),"",IF($A1034&lt;200,"n.a.",IF(COUNT(INDEX(StockDaily[Adjusted close],MAX(1,$A1034-200+1)):E1034)=200,AVERAGE(INDEX(StockDaily[Adjusted close],MAX(1,$A1034-200+1)):E1034),"n.a.")))</f>
        <v/>
      </c>
      <c r="H1034" s="136" t="str">
        <f>IF($A1034&gt;MIN($A$10,$A$2),"",IF($A$5="","Choose stock",IF(NOT($A$12),"Check split rule",IF(NOT(ISNUMBER(B1034)),"Invalid date",IF(OR(B1034&lt;=0,B1034&lt;&gt;INT(B1034)),"Invalid date",IF(COUNTIFS(DemoHistory[Date],B1034)&lt;&gt;1,"Duplicate date",IF(AND($A1034&gt;1,B1034&lt;=B1033),"Dates out of order",IF(NOT(ISNUMBER(C1034)),"Missing price",IF(C1034&lt;=0,"Nonpositive price","OK")))))))))</f>
        <v/>
      </c>
      <c r="I1034" s="136"/>
      <c r="J1034" s="136"/>
      <c r="K1034" s="136"/>
      <c r="L1034" s="136"/>
      <c r="M1034" s="136"/>
      <c r="N1034" s="136" t="e">
        <f t="shared" si="46"/>
        <v>#N/A</v>
      </c>
      <c r="O1034" s="136" t="e">
        <f t="shared" si="47"/>
        <v>#N/A</v>
      </c>
    </row>
    <row r="1035" spans="1:15" ht="22.05" customHeight="1" x14ac:dyDescent="0.3">
      <c r="A1035" s="136">
        <v>991</v>
      </c>
      <c r="B1035" s="165" t="str">
        <f>IF($A1035&gt;MIN($A$10,$A$2),"",INDEX(DemoHistory[Date],$A1035))</f>
        <v/>
      </c>
      <c r="C1035" s="166" t="str">
        <f>IF(OR($A1035&gt;MIN($A$10,$A$2),$A$5=""),"",INDEX(DemoHistory[],$A1035,MATCH($A$5,DemoHistory[#Headers],0)))</f>
        <v/>
      </c>
      <c r="D1035" s="166" t="str">
        <f>IF($A1035&gt;MIN($A$10,$A$2),"",IF(AND($A$12,$A$6=1,B1035&lt;$A$7,$A$7&lt;=MAX(DemoHistory[Date])),$A$8,1))</f>
        <v/>
      </c>
      <c r="E1035" s="166" t="str">
        <f t="shared" si="45"/>
        <v/>
      </c>
      <c r="F1035" s="166" t="str">
        <f>IF($A1035&gt;MIN($A$10,$A$2),"",IF($A1035&lt;50,"n.a.",IF(COUNT(INDEX(StockDaily[Adjusted close],MAX(1,$A1035-50+1)):E1035)=50,AVERAGE(INDEX(StockDaily[Adjusted close],MAX(1,$A1035-50+1)):E1035),"n.a.")))</f>
        <v/>
      </c>
      <c r="G1035" s="166" t="str">
        <f>IF($A1035&gt;MIN($A$10,$A$2),"",IF($A1035&lt;200,"n.a.",IF(COUNT(INDEX(StockDaily[Adjusted close],MAX(1,$A1035-200+1)):E1035)=200,AVERAGE(INDEX(StockDaily[Adjusted close],MAX(1,$A1035-200+1)):E1035),"n.a.")))</f>
        <v/>
      </c>
      <c r="H1035" s="136" t="str">
        <f>IF($A1035&gt;MIN($A$10,$A$2),"",IF($A$5="","Choose stock",IF(NOT($A$12),"Check split rule",IF(NOT(ISNUMBER(B1035)),"Invalid date",IF(OR(B1035&lt;=0,B1035&lt;&gt;INT(B1035)),"Invalid date",IF(COUNTIFS(DemoHistory[Date],B1035)&lt;&gt;1,"Duplicate date",IF(AND($A1035&gt;1,B1035&lt;=B1034),"Dates out of order",IF(NOT(ISNUMBER(C1035)),"Missing price",IF(C1035&lt;=0,"Nonpositive price","OK")))))))))</f>
        <v/>
      </c>
      <c r="I1035" s="136"/>
      <c r="J1035" s="136"/>
      <c r="K1035" s="136"/>
      <c r="L1035" s="136"/>
      <c r="M1035" s="136"/>
      <c r="N1035" s="136" t="e">
        <f t="shared" si="46"/>
        <v>#N/A</v>
      </c>
      <c r="O1035" s="136" t="e">
        <f t="shared" si="47"/>
        <v>#N/A</v>
      </c>
    </row>
    <row r="1036" spans="1:15" ht="22.05" customHeight="1" x14ac:dyDescent="0.3">
      <c r="A1036" s="136">
        <v>992</v>
      </c>
      <c r="B1036" s="165" t="str">
        <f>IF($A1036&gt;MIN($A$10,$A$2),"",INDEX(DemoHistory[Date],$A1036))</f>
        <v/>
      </c>
      <c r="C1036" s="166" t="str">
        <f>IF(OR($A1036&gt;MIN($A$10,$A$2),$A$5=""),"",INDEX(DemoHistory[],$A1036,MATCH($A$5,DemoHistory[#Headers],0)))</f>
        <v/>
      </c>
      <c r="D1036" s="166" t="str">
        <f>IF($A1036&gt;MIN($A$10,$A$2),"",IF(AND($A$12,$A$6=1,B1036&lt;$A$7,$A$7&lt;=MAX(DemoHistory[Date])),$A$8,1))</f>
        <v/>
      </c>
      <c r="E1036" s="166" t="str">
        <f t="shared" si="45"/>
        <v/>
      </c>
      <c r="F1036" s="166" t="str">
        <f>IF($A1036&gt;MIN($A$10,$A$2),"",IF($A1036&lt;50,"n.a.",IF(COUNT(INDEX(StockDaily[Adjusted close],MAX(1,$A1036-50+1)):E1036)=50,AVERAGE(INDEX(StockDaily[Adjusted close],MAX(1,$A1036-50+1)):E1036),"n.a.")))</f>
        <v/>
      </c>
      <c r="G1036" s="166" t="str">
        <f>IF($A1036&gt;MIN($A$10,$A$2),"",IF($A1036&lt;200,"n.a.",IF(COUNT(INDEX(StockDaily[Adjusted close],MAX(1,$A1036-200+1)):E1036)=200,AVERAGE(INDEX(StockDaily[Adjusted close],MAX(1,$A1036-200+1)):E1036),"n.a.")))</f>
        <v/>
      </c>
      <c r="H1036" s="136" t="str">
        <f>IF($A1036&gt;MIN($A$10,$A$2),"",IF($A$5="","Choose stock",IF(NOT($A$12),"Check split rule",IF(NOT(ISNUMBER(B1036)),"Invalid date",IF(OR(B1036&lt;=0,B1036&lt;&gt;INT(B1036)),"Invalid date",IF(COUNTIFS(DemoHistory[Date],B1036)&lt;&gt;1,"Duplicate date",IF(AND($A1036&gt;1,B1036&lt;=B1035),"Dates out of order",IF(NOT(ISNUMBER(C1036)),"Missing price",IF(C1036&lt;=0,"Nonpositive price","OK")))))))))</f>
        <v/>
      </c>
      <c r="I1036" s="136"/>
      <c r="J1036" s="136"/>
      <c r="K1036" s="136"/>
      <c r="L1036" s="136"/>
      <c r="M1036" s="136"/>
      <c r="N1036" s="136" t="e">
        <f t="shared" si="46"/>
        <v>#N/A</v>
      </c>
      <c r="O1036" s="136" t="e">
        <f t="shared" si="47"/>
        <v>#N/A</v>
      </c>
    </row>
    <row r="1037" spans="1:15" ht="22.05" customHeight="1" x14ac:dyDescent="0.3">
      <c r="A1037" s="136">
        <v>993</v>
      </c>
      <c r="B1037" s="165" t="str">
        <f>IF($A1037&gt;MIN($A$10,$A$2),"",INDEX(DemoHistory[Date],$A1037))</f>
        <v/>
      </c>
      <c r="C1037" s="166" t="str">
        <f>IF(OR($A1037&gt;MIN($A$10,$A$2),$A$5=""),"",INDEX(DemoHistory[],$A1037,MATCH($A$5,DemoHistory[#Headers],0)))</f>
        <v/>
      </c>
      <c r="D1037" s="166" t="str">
        <f>IF($A1037&gt;MIN($A$10,$A$2),"",IF(AND($A$12,$A$6=1,B1037&lt;$A$7,$A$7&lt;=MAX(DemoHistory[Date])),$A$8,1))</f>
        <v/>
      </c>
      <c r="E1037" s="166" t="str">
        <f t="shared" si="45"/>
        <v/>
      </c>
      <c r="F1037" s="166" t="str">
        <f>IF($A1037&gt;MIN($A$10,$A$2),"",IF($A1037&lt;50,"n.a.",IF(COUNT(INDEX(StockDaily[Adjusted close],MAX(1,$A1037-50+1)):E1037)=50,AVERAGE(INDEX(StockDaily[Adjusted close],MAX(1,$A1037-50+1)):E1037),"n.a.")))</f>
        <v/>
      </c>
      <c r="G1037" s="166" t="str">
        <f>IF($A1037&gt;MIN($A$10,$A$2),"",IF($A1037&lt;200,"n.a.",IF(COUNT(INDEX(StockDaily[Adjusted close],MAX(1,$A1037-200+1)):E1037)=200,AVERAGE(INDEX(StockDaily[Adjusted close],MAX(1,$A1037-200+1)):E1037),"n.a.")))</f>
        <v/>
      </c>
      <c r="H1037" s="136" t="str">
        <f>IF($A1037&gt;MIN($A$10,$A$2),"",IF($A$5="","Choose stock",IF(NOT($A$12),"Check split rule",IF(NOT(ISNUMBER(B1037)),"Invalid date",IF(OR(B1037&lt;=0,B1037&lt;&gt;INT(B1037)),"Invalid date",IF(COUNTIFS(DemoHistory[Date],B1037)&lt;&gt;1,"Duplicate date",IF(AND($A1037&gt;1,B1037&lt;=B1036),"Dates out of order",IF(NOT(ISNUMBER(C1037)),"Missing price",IF(C1037&lt;=0,"Nonpositive price","OK")))))))))</f>
        <v/>
      </c>
      <c r="I1037" s="136"/>
      <c r="J1037" s="136"/>
      <c r="K1037" s="136"/>
      <c r="L1037" s="136"/>
      <c r="M1037" s="136"/>
      <c r="N1037" s="136" t="e">
        <f t="shared" si="46"/>
        <v>#N/A</v>
      </c>
      <c r="O1037" s="136" t="e">
        <f t="shared" si="47"/>
        <v>#N/A</v>
      </c>
    </row>
    <row r="1038" spans="1:15" ht="22.05" customHeight="1" x14ac:dyDescent="0.3">
      <c r="A1038" s="136">
        <v>994</v>
      </c>
      <c r="B1038" s="165" t="str">
        <f>IF($A1038&gt;MIN($A$10,$A$2),"",INDEX(DemoHistory[Date],$A1038))</f>
        <v/>
      </c>
      <c r="C1038" s="166" t="str">
        <f>IF(OR($A1038&gt;MIN($A$10,$A$2),$A$5=""),"",INDEX(DemoHistory[],$A1038,MATCH($A$5,DemoHistory[#Headers],0)))</f>
        <v/>
      </c>
      <c r="D1038" s="166" t="str">
        <f>IF($A1038&gt;MIN($A$10,$A$2),"",IF(AND($A$12,$A$6=1,B1038&lt;$A$7,$A$7&lt;=MAX(DemoHistory[Date])),$A$8,1))</f>
        <v/>
      </c>
      <c r="E1038" s="166" t="str">
        <f t="shared" si="45"/>
        <v/>
      </c>
      <c r="F1038" s="166" t="str">
        <f>IF($A1038&gt;MIN($A$10,$A$2),"",IF($A1038&lt;50,"n.a.",IF(COUNT(INDEX(StockDaily[Adjusted close],MAX(1,$A1038-50+1)):E1038)=50,AVERAGE(INDEX(StockDaily[Adjusted close],MAX(1,$A1038-50+1)):E1038),"n.a.")))</f>
        <v/>
      </c>
      <c r="G1038" s="166" t="str">
        <f>IF($A1038&gt;MIN($A$10,$A$2),"",IF($A1038&lt;200,"n.a.",IF(COUNT(INDEX(StockDaily[Adjusted close],MAX(1,$A1038-200+1)):E1038)=200,AVERAGE(INDEX(StockDaily[Adjusted close],MAX(1,$A1038-200+1)):E1038),"n.a.")))</f>
        <v/>
      </c>
      <c r="H1038" s="136" t="str">
        <f>IF($A1038&gt;MIN($A$10,$A$2),"",IF($A$5="","Choose stock",IF(NOT($A$12),"Check split rule",IF(NOT(ISNUMBER(B1038)),"Invalid date",IF(OR(B1038&lt;=0,B1038&lt;&gt;INT(B1038)),"Invalid date",IF(COUNTIFS(DemoHistory[Date],B1038)&lt;&gt;1,"Duplicate date",IF(AND($A1038&gt;1,B1038&lt;=B1037),"Dates out of order",IF(NOT(ISNUMBER(C1038)),"Missing price",IF(C1038&lt;=0,"Nonpositive price","OK")))))))))</f>
        <v/>
      </c>
      <c r="I1038" s="136"/>
      <c r="J1038" s="136"/>
      <c r="K1038" s="136"/>
      <c r="L1038" s="136"/>
      <c r="M1038" s="136"/>
      <c r="N1038" s="136" t="e">
        <f t="shared" si="46"/>
        <v>#N/A</v>
      </c>
      <c r="O1038" s="136" t="e">
        <f t="shared" si="47"/>
        <v>#N/A</v>
      </c>
    </row>
    <row r="1039" spans="1:15" ht="22.05" customHeight="1" x14ac:dyDescent="0.3">
      <c r="A1039" s="136">
        <v>995</v>
      </c>
      <c r="B1039" s="165" t="str">
        <f>IF($A1039&gt;MIN($A$10,$A$2),"",INDEX(DemoHistory[Date],$A1039))</f>
        <v/>
      </c>
      <c r="C1039" s="166" t="str">
        <f>IF(OR($A1039&gt;MIN($A$10,$A$2),$A$5=""),"",INDEX(DemoHistory[],$A1039,MATCH($A$5,DemoHistory[#Headers],0)))</f>
        <v/>
      </c>
      <c r="D1039" s="166" t="str">
        <f>IF($A1039&gt;MIN($A$10,$A$2),"",IF(AND($A$12,$A$6=1,B1039&lt;$A$7,$A$7&lt;=MAX(DemoHistory[Date])),$A$8,1))</f>
        <v/>
      </c>
      <c r="E1039" s="166" t="str">
        <f t="shared" si="45"/>
        <v/>
      </c>
      <c r="F1039" s="166" t="str">
        <f>IF($A1039&gt;MIN($A$10,$A$2),"",IF($A1039&lt;50,"n.a.",IF(COUNT(INDEX(StockDaily[Adjusted close],MAX(1,$A1039-50+1)):E1039)=50,AVERAGE(INDEX(StockDaily[Adjusted close],MAX(1,$A1039-50+1)):E1039),"n.a.")))</f>
        <v/>
      </c>
      <c r="G1039" s="166" t="str">
        <f>IF($A1039&gt;MIN($A$10,$A$2),"",IF($A1039&lt;200,"n.a.",IF(COUNT(INDEX(StockDaily[Adjusted close],MAX(1,$A1039-200+1)):E1039)=200,AVERAGE(INDEX(StockDaily[Adjusted close],MAX(1,$A1039-200+1)):E1039),"n.a.")))</f>
        <v/>
      </c>
      <c r="H1039" s="136" t="str">
        <f>IF($A1039&gt;MIN($A$10,$A$2),"",IF($A$5="","Choose stock",IF(NOT($A$12),"Check split rule",IF(NOT(ISNUMBER(B1039)),"Invalid date",IF(OR(B1039&lt;=0,B1039&lt;&gt;INT(B1039)),"Invalid date",IF(COUNTIFS(DemoHistory[Date],B1039)&lt;&gt;1,"Duplicate date",IF(AND($A1039&gt;1,B1039&lt;=B1038),"Dates out of order",IF(NOT(ISNUMBER(C1039)),"Missing price",IF(C1039&lt;=0,"Nonpositive price","OK")))))))))</f>
        <v/>
      </c>
      <c r="I1039" s="136"/>
      <c r="J1039" s="136"/>
      <c r="K1039" s="136"/>
      <c r="L1039" s="136"/>
      <c r="M1039" s="136"/>
      <c r="N1039" s="136" t="e">
        <f t="shared" si="46"/>
        <v>#N/A</v>
      </c>
      <c r="O1039" s="136" t="e">
        <f t="shared" si="47"/>
        <v>#N/A</v>
      </c>
    </row>
    <row r="1040" spans="1:15" ht="22.05" customHeight="1" x14ac:dyDescent="0.3">
      <c r="A1040" s="136">
        <v>996</v>
      </c>
      <c r="B1040" s="165" t="str">
        <f>IF($A1040&gt;MIN($A$10,$A$2),"",INDEX(DemoHistory[Date],$A1040))</f>
        <v/>
      </c>
      <c r="C1040" s="166" t="str">
        <f>IF(OR($A1040&gt;MIN($A$10,$A$2),$A$5=""),"",INDEX(DemoHistory[],$A1040,MATCH($A$5,DemoHistory[#Headers],0)))</f>
        <v/>
      </c>
      <c r="D1040" s="166" t="str">
        <f>IF($A1040&gt;MIN($A$10,$A$2),"",IF(AND($A$12,$A$6=1,B1040&lt;$A$7,$A$7&lt;=MAX(DemoHistory[Date])),$A$8,1))</f>
        <v/>
      </c>
      <c r="E1040" s="166" t="str">
        <f t="shared" si="45"/>
        <v/>
      </c>
      <c r="F1040" s="166" t="str">
        <f>IF($A1040&gt;MIN($A$10,$A$2),"",IF($A1040&lt;50,"n.a.",IF(COUNT(INDEX(StockDaily[Adjusted close],MAX(1,$A1040-50+1)):E1040)=50,AVERAGE(INDEX(StockDaily[Adjusted close],MAX(1,$A1040-50+1)):E1040),"n.a.")))</f>
        <v/>
      </c>
      <c r="G1040" s="166" t="str">
        <f>IF($A1040&gt;MIN($A$10,$A$2),"",IF($A1040&lt;200,"n.a.",IF(COUNT(INDEX(StockDaily[Adjusted close],MAX(1,$A1040-200+1)):E1040)=200,AVERAGE(INDEX(StockDaily[Adjusted close],MAX(1,$A1040-200+1)):E1040),"n.a.")))</f>
        <v/>
      </c>
      <c r="H1040" s="136" t="str">
        <f>IF($A1040&gt;MIN($A$10,$A$2),"",IF($A$5="","Choose stock",IF(NOT($A$12),"Check split rule",IF(NOT(ISNUMBER(B1040)),"Invalid date",IF(OR(B1040&lt;=0,B1040&lt;&gt;INT(B1040)),"Invalid date",IF(COUNTIFS(DemoHistory[Date],B1040)&lt;&gt;1,"Duplicate date",IF(AND($A1040&gt;1,B1040&lt;=B1039),"Dates out of order",IF(NOT(ISNUMBER(C1040)),"Missing price",IF(C1040&lt;=0,"Nonpositive price","OK")))))))))</f>
        <v/>
      </c>
      <c r="I1040" s="136"/>
      <c r="J1040" s="136"/>
      <c r="K1040" s="136"/>
      <c r="L1040" s="136"/>
      <c r="M1040" s="136"/>
      <c r="N1040" s="136" t="e">
        <f t="shared" si="46"/>
        <v>#N/A</v>
      </c>
      <c r="O1040" s="136" t="e">
        <f t="shared" si="47"/>
        <v>#N/A</v>
      </c>
    </row>
    <row r="1041" spans="1:15" ht="22.05" customHeight="1" x14ac:dyDescent="0.3">
      <c r="A1041" s="136">
        <v>997</v>
      </c>
      <c r="B1041" s="165" t="str">
        <f>IF($A1041&gt;MIN($A$10,$A$2),"",INDEX(DemoHistory[Date],$A1041))</f>
        <v/>
      </c>
      <c r="C1041" s="166" t="str">
        <f>IF(OR($A1041&gt;MIN($A$10,$A$2),$A$5=""),"",INDEX(DemoHistory[],$A1041,MATCH($A$5,DemoHistory[#Headers],0)))</f>
        <v/>
      </c>
      <c r="D1041" s="166" t="str">
        <f>IF($A1041&gt;MIN($A$10,$A$2),"",IF(AND($A$12,$A$6=1,B1041&lt;$A$7,$A$7&lt;=MAX(DemoHistory[Date])),$A$8,1))</f>
        <v/>
      </c>
      <c r="E1041" s="166" t="str">
        <f t="shared" si="45"/>
        <v/>
      </c>
      <c r="F1041" s="166" t="str">
        <f>IF($A1041&gt;MIN($A$10,$A$2),"",IF($A1041&lt;50,"n.a.",IF(COUNT(INDEX(StockDaily[Adjusted close],MAX(1,$A1041-50+1)):E1041)=50,AVERAGE(INDEX(StockDaily[Adjusted close],MAX(1,$A1041-50+1)):E1041),"n.a.")))</f>
        <v/>
      </c>
      <c r="G1041" s="166" t="str">
        <f>IF($A1041&gt;MIN($A$10,$A$2),"",IF($A1041&lt;200,"n.a.",IF(COUNT(INDEX(StockDaily[Adjusted close],MAX(1,$A1041-200+1)):E1041)=200,AVERAGE(INDEX(StockDaily[Adjusted close],MAX(1,$A1041-200+1)):E1041),"n.a.")))</f>
        <v/>
      </c>
      <c r="H1041" s="136" t="str">
        <f>IF($A1041&gt;MIN($A$10,$A$2),"",IF($A$5="","Choose stock",IF(NOT($A$12),"Check split rule",IF(NOT(ISNUMBER(B1041)),"Invalid date",IF(OR(B1041&lt;=0,B1041&lt;&gt;INT(B1041)),"Invalid date",IF(COUNTIFS(DemoHistory[Date],B1041)&lt;&gt;1,"Duplicate date",IF(AND($A1041&gt;1,B1041&lt;=B1040),"Dates out of order",IF(NOT(ISNUMBER(C1041)),"Missing price",IF(C1041&lt;=0,"Nonpositive price","OK")))))))))</f>
        <v/>
      </c>
      <c r="I1041" s="136"/>
      <c r="J1041" s="136"/>
      <c r="K1041" s="136"/>
      <c r="L1041" s="136"/>
      <c r="M1041" s="136"/>
      <c r="N1041" s="136" t="e">
        <f t="shared" si="46"/>
        <v>#N/A</v>
      </c>
      <c r="O1041" s="136" t="e">
        <f t="shared" si="47"/>
        <v>#N/A</v>
      </c>
    </row>
    <row r="1042" spans="1:15" ht="22.05" customHeight="1" x14ac:dyDescent="0.3">
      <c r="A1042" s="136">
        <v>998</v>
      </c>
      <c r="B1042" s="165" t="str">
        <f>IF($A1042&gt;MIN($A$10,$A$2),"",INDEX(DemoHistory[Date],$A1042))</f>
        <v/>
      </c>
      <c r="C1042" s="166" t="str">
        <f>IF(OR($A1042&gt;MIN($A$10,$A$2),$A$5=""),"",INDEX(DemoHistory[],$A1042,MATCH($A$5,DemoHistory[#Headers],0)))</f>
        <v/>
      </c>
      <c r="D1042" s="166" t="str">
        <f>IF($A1042&gt;MIN($A$10,$A$2),"",IF(AND($A$12,$A$6=1,B1042&lt;$A$7,$A$7&lt;=MAX(DemoHistory[Date])),$A$8,1))</f>
        <v/>
      </c>
      <c r="E1042" s="166" t="str">
        <f t="shared" si="45"/>
        <v/>
      </c>
      <c r="F1042" s="166" t="str">
        <f>IF($A1042&gt;MIN($A$10,$A$2),"",IF($A1042&lt;50,"n.a.",IF(COUNT(INDEX(StockDaily[Adjusted close],MAX(1,$A1042-50+1)):E1042)=50,AVERAGE(INDEX(StockDaily[Adjusted close],MAX(1,$A1042-50+1)):E1042),"n.a.")))</f>
        <v/>
      </c>
      <c r="G1042" s="166" t="str">
        <f>IF($A1042&gt;MIN($A$10,$A$2),"",IF($A1042&lt;200,"n.a.",IF(COUNT(INDEX(StockDaily[Adjusted close],MAX(1,$A1042-200+1)):E1042)=200,AVERAGE(INDEX(StockDaily[Adjusted close],MAX(1,$A1042-200+1)):E1042),"n.a.")))</f>
        <v/>
      </c>
      <c r="H1042" s="136" t="str">
        <f>IF($A1042&gt;MIN($A$10,$A$2),"",IF($A$5="","Choose stock",IF(NOT($A$12),"Check split rule",IF(NOT(ISNUMBER(B1042)),"Invalid date",IF(OR(B1042&lt;=0,B1042&lt;&gt;INT(B1042)),"Invalid date",IF(COUNTIFS(DemoHistory[Date],B1042)&lt;&gt;1,"Duplicate date",IF(AND($A1042&gt;1,B1042&lt;=B1041),"Dates out of order",IF(NOT(ISNUMBER(C1042)),"Missing price",IF(C1042&lt;=0,"Nonpositive price","OK")))))))))</f>
        <v/>
      </c>
      <c r="I1042" s="136"/>
      <c r="J1042" s="136"/>
      <c r="K1042" s="136"/>
      <c r="L1042" s="136"/>
      <c r="M1042" s="136"/>
      <c r="N1042" s="136" t="e">
        <f t="shared" si="46"/>
        <v>#N/A</v>
      </c>
      <c r="O1042" s="136" t="e">
        <f t="shared" si="47"/>
        <v>#N/A</v>
      </c>
    </row>
    <row r="1043" spans="1:15" ht="22.05" customHeight="1" x14ac:dyDescent="0.3">
      <c r="A1043" s="136">
        <v>999</v>
      </c>
      <c r="B1043" s="165" t="str">
        <f>IF($A1043&gt;MIN($A$10,$A$2),"",INDEX(DemoHistory[Date],$A1043))</f>
        <v/>
      </c>
      <c r="C1043" s="166" t="str">
        <f>IF(OR($A1043&gt;MIN($A$10,$A$2),$A$5=""),"",INDEX(DemoHistory[],$A1043,MATCH($A$5,DemoHistory[#Headers],0)))</f>
        <v/>
      </c>
      <c r="D1043" s="166" t="str">
        <f>IF($A1043&gt;MIN($A$10,$A$2),"",IF(AND($A$12,$A$6=1,B1043&lt;$A$7,$A$7&lt;=MAX(DemoHistory[Date])),$A$8,1))</f>
        <v/>
      </c>
      <c r="E1043" s="166" t="str">
        <f t="shared" si="45"/>
        <v/>
      </c>
      <c r="F1043" s="166" t="str">
        <f>IF($A1043&gt;MIN($A$10,$A$2),"",IF($A1043&lt;50,"n.a.",IF(COUNT(INDEX(StockDaily[Adjusted close],MAX(1,$A1043-50+1)):E1043)=50,AVERAGE(INDEX(StockDaily[Adjusted close],MAX(1,$A1043-50+1)):E1043),"n.a.")))</f>
        <v/>
      </c>
      <c r="G1043" s="166" t="str">
        <f>IF($A1043&gt;MIN($A$10,$A$2),"",IF($A1043&lt;200,"n.a.",IF(COUNT(INDEX(StockDaily[Adjusted close],MAX(1,$A1043-200+1)):E1043)=200,AVERAGE(INDEX(StockDaily[Adjusted close],MAX(1,$A1043-200+1)):E1043),"n.a.")))</f>
        <v/>
      </c>
      <c r="H1043" s="136" t="str">
        <f>IF($A1043&gt;MIN($A$10,$A$2),"",IF($A$5="","Choose stock",IF(NOT($A$12),"Check split rule",IF(NOT(ISNUMBER(B1043)),"Invalid date",IF(OR(B1043&lt;=0,B1043&lt;&gt;INT(B1043)),"Invalid date",IF(COUNTIFS(DemoHistory[Date],B1043)&lt;&gt;1,"Duplicate date",IF(AND($A1043&gt;1,B1043&lt;=B1042),"Dates out of order",IF(NOT(ISNUMBER(C1043)),"Missing price",IF(C1043&lt;=0,"Nonpositive price","OK")))))))))</f>
        <v/>
      </c>
      <c r="I1043" s="136"/>
      <c r="J1043" s="136"/>
      <c r="K1043" s="136"/>
      <c r="L1043" s="136"/>
      <c r="M1043" s="136"/>
      <c r="N1043" s="136" t="e">
        <f t="shared" si="46"/>
        <v>#N/A</v>
      </c>
      <c r="O1043" s="136" t="e">
        <f t="shared" si="47"/>
        <v>#N/A</v>
      </c>
    </row>
    <row r="1044" spans="1:15" ht="22.05" customHeight="1" x14ac:dyDescent="0.3">
      <c r="A1044" s="136">
        <v>1000</v>
      </c>
      <c r="B1044" s="165" t="str">
        <f>IF($A1044&gt;MIN($A$10,$A$2),"",INDEX(DemoHistory[Date],$A1044))</f>
        <v/>
      </c>
      <c r="C1044" s="166" t="str">
        <f>IF(OR($A1044&gt;MIN($A$10,$A$2),$A$5=""),"",INDEX(DemoHistory[],$A1044,MATCH($A$5,DemoHistory[#Headers],0)))</f>
        <v/>
      </c>
      <c r="D1044" s="166" t="str">
        <f>IF($A1044&gt;MIN($A$10,$A$2),"",IF(AND($A$12,$A$6=1,B1044&lt;$A$7,$A$7&lt;=MAX(DemoHistory[Date])),$A$8,1))</f>
        <v/>
      </c>
      <c r="E1044" s="166" t="str">
        <f t="shared" si="45"/>
        <v/>
      </c>
      <c r="F1044" s="166" t="str">
        <f>IF($A1044&gt;MIN($A$10,$A$2),"",IF($A1044&lt;50,"n.a.",IF(COUNT(INDEX(StockDaily[Adjusted close],MAX(1,$A1044-50+1)):E1044)=50,AVERAGE(INDEX(StockDaily[Adjusted close],MAX(1,$A1044-50+1)):E1044),"n.a.")))</f>
        <v/>
      </c>
      <c r="G1044" s="166" t="str">
        <f>IF($A1044&gt;MIN($A$10,$A$2),"",IF($A1044&lt;200,"n.a.",IF(COUNT(INDEX(StockDaily[Adjusted close],MAX(1,$A1044-200+1)):E1044)=200,AVERAGE(INDEX(StockDaily[Adjusted close],MAX(1,$A1044-200+1)):E1044),"n.a.")))</f>
        <v/>
      </c>
      <c r="H1044" s="136" t="str">
        <f>IF($A1044&gt;MIN($A$10,$A$2),"",IF($A$5="","Choose stock",IF(NOT($A$12),"Check split rule",IF(NOT(ISNUMBER(B1044)),"Invalid date",IF(OR(B1044&lt;=0,B1044&lt;&gt;INT(B1044)),"Invalid date",IF(COUNTIFS(DemoHistory[Date],B1044)&lt;&gt;1,"Duplicate date",IF(AND($A1044&gt;1,B1044&lt;=B1043),"Dates out of order",IF(NOT(ISNUMBER(C1044)),"Missing price",IF(C1044&lt;=0,"Nonpositive price","OK")))))))))</f>
        <v/>
      </c>
      <c r="I1044" s="136"/>
      <c r="J1044" s="136"/>
      <c r="K1044" s="136"/>
      <c r="L1044" s="136"/>
      <c r="M1044" s="136"/>
      <c r="N1044" s="136" t="e">
        <f t="shared" si="46"/>
        <v>#N/A</v>
      </c>
      <c r="O1044" s="136" t="e">
        <f t="shared" si="47"/>
        <v>#N/A</v>
      </c>
    </row>
  </sheetData>
  <mergeCells count="22">
    <mergeCell ref="B17:L17"/>
    <mergeCell ref="D5:H5"/>
    <mergeCell ref="K5:L5"/>
    <mergeCell ref="B6:L6"/>
    <mergeCell ref="B9:E9"/>
    <mergeCell ref="F9:I9"/>
    <mergeCell ref="J9:L9"/>
    <mergeCell ref="B11:L11"/>
    <mergeCell ref="B12:L12"/>
    <mergeCell ref="B15:E15"/>
    <mergeCell ref="F15:I15"/>
    <mergeCell ref="J15:L15"/>
    <mergeCell ref="B41:L41"/>
    <mergeCell ref="J48:L51"/>
    <mergeCell ref="J52:L55"/>
    <mergeCell ref="J56:L59"/>
    <mergeCell ref="D20:E20"/>
    <mergeCell ref="K20:L20"/>
    <mergeCell ref="D21:E21"/>
    <mergeCell ref="K21:L21"/>
    <mergeCell ref="B22:L22"/>
    <mergeCell ref="B23:L23"/>
  </mergeCells>
  <conditionalFormatting sqref="B17:L17">
    <cfRule type="expression" dxfId="48" priority="1" stopIfTrue="1">
      <formula>$A$13&lt;&gt;"Ready"</formula>
    </cfRule>
  </conditionalFormatting>
  <dataValidations count="2">
    <dataValidation type="list" allowBlank="1" showInputMessage="1" showErrorMessage="1" sqref="D5" xr:uid="{5CA37363-150A-4E80-8535-DB421EB8DB51}">
      <formula1>PlanStockNames</formula1>
    </dataValidation>
    <dataValidation type="list" allowBlank="1" showInputMessage="1" showErrorMessage="1" sqref="K5" xr:uid="{9FD86A11-3EEF-410A-879F-3899CA00C5AC}">
      <formula1>"All closes,63 closes,21 closes"</formula1>
    </dataValidation>
  </dataValidations>
  <hyperlinks>
    <hyperlink ref="B3" location="'Watchlist'!B2" tooltip="Watchlist" display="Watchlist" xr:uid="{600443EF-20B2-4F21-8C79-7B20DC725D63}"/>
    <hyperlink ref="E3" location="'Trade plan'!B2" tooltip="Trade plan" display="Trade plan" xr:uid="{18A85DD8-6EFE-48CF-BCEB-441E0BB16E5E}"/>
    <hyperlink ref="H3" location="'Holdings'!B2" tooltip="Holdings" display="Holdings" xr:uid="{062FE3ED-3F29-4D7E-BE72-6C7A4C3E17D0}"/>
    <hyperlink ref="K3" location="'Help'!B2" tooltip="Help" display="Help" xr:uid="{7A63D79C-4963-4510-891B-8600DAAF965D}"/>
    <hyperlink ref="J3" location="'Headlines'!B2" tooltip="Headlines" display="Headlines" xr:uid="{152B0E7C-83DC-4B67-9461-D23C58EE9045}"/>
  </hyperlinks>
  <pageMargins left="0.27777777777777779" right="0.27777777777777779" top="0.27777777777777779" bottom="0.27777777777777779" header="0.3" footer="0.3"/>
  <pageSetup paperSize="8" scale="84" orientation="landscape" r:id="rId1"/>
  <drawing r:id="rId2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1315-71A9-48A9-9C7B-A49DB2DC4D56}">
  <sheetPr>
    <tabColor rgb="FF6CCAD9"/>
    <pageSetUpPr fitToPage="1"/>
  </sheetPr>
  <dimension ref="A1:I51"/>
  <sheetViews>
    <sheetView showGridLines="0" topLeftCell="B1" zoomScale="85" zoomScaleNormal="85" workbookViewId="0">
      <pane ySplit="3" topLeftCell="A4" activePane="bottomLeft" state="frozenSplit"/>
      <selection activeCell="B1" sqref="B1"/>
      <selection pane="bottomLeft"/>
    </sheetView>
  </sheetViews>
  <sheetFormatPr defaultRowHeight="14.4" x14ac:dyDescent="0.3"/>
  <cols>
    <col min="1" max="1" width="3" hidden="1" customWidth="1"/>
    <col min="2" max="2" width="25" customWidth="1"/>
    <col min="3" max="3" width="12" customWidth="1"/>
    <col min="4" max="5" width="13" customWidth="1"/>
    <col min="6" max="7" width="15" customWidth="1"/>
    <col min="8" max="8" width="29" customWidth="1"/>
    <col min="9" max="9" width="25" customWidth="1"/>
  </cols>
  <sheetData>
    <row r="1" spans="1:9" ht="22.95" customHeight="1" x14ac:dyDescent="0.3">
      <c r="A1" s="136"/>
      <c r="B1" s="137"/>
      <c r="C1" s="137"/>
      <c r="D1" s="137"/>
      <c r="E1" s="137"/>
      <c r="F1" s="137"/>
      <c r="G1" s="137"/>
      <c r="H1" s="137"/>
      <c r="I1" s="137"/>
    </row>
    <row r="2" spans="1:9" ht="22.95" customHeight="1" x14ac:dyDescent="0.3">
      <c r="A2" s="136"/>
      <c r="B2" s="138" t="s">
        <v>323</v>
      </c>
      <c r="C2" s="137"/>
      <c r="D2" s="137"/>
      <c r="E2" s="137"/>
      <c r="F2" s="137"/>
      <c r="G2" s="137"/>
      <c r="H2" s="137"/>
      <c r="I2" s="137"/>
    </row>
    <row r="3" spans="1:9" ht="22.95" customHeight="1" x14ac:dyDescent="0.3">
      <c r="A3" s="136"/>
      <c r="B3" s="161" t="s">
        <v>320</v>
      </c>
      <c r="C3" s="137"/>
      <c r="D3" s="161" t="s">
        <v>317</v>
      </c>
      <c r="E3" s="137"/>
      <c r="F3" s="161" t="s">
        <v>318</v>
      </c>
      <c r="G3" s="137"/>
      <c r="H3" s="161" t="s">
        <v>319</v>
      </c>
      <c r="I3" s="161" t="s">
        <v>369</v>
      </c>
    </row>
    <row r="4" spans="1:9" ht="22.95" customHeight="1" x14ac:dyDescent="0.3">
      <c r="A4" s="136"/>
      <c r="B4" s="136"/>
      <c r="C4" s="136"/>
      <c r="D4" s="136"/>
      <c r="E4" s="136"/>
      <c r="F4" s="136"/>
      <c r="G4" s="136"/>
      <c r="H4" s="136"/>
      <c r="I4" s="136"/>
    </row>
    <row r="5" spans="1:9" ht="27" customHeight="1" x14ac:dyDescent="0.3">
      <c r="A5" s="136" t="str">
        <f>IF(COUNTIFS(PlanInputs[Stock / ETF],D5)&lt;&gt;1,"",INDEX(PlanInputs[PlanID],MATCH(D5,PlanInputs[Stock / ETF],0)))</f>
        <v>PLAN-SYN_BANK</v>
      </c>
      <c r="B5" s="136" t="s">
        <v>324</v>
      </c>
      <c r="C5" s="136"/>
      <c r="D5" s="180" t="s">
        <v>47</v>
      </c>
      <c r="E5" s="180"/>
      <c r="F5" s="180"/>
      <c r="G5" s="180"/>
      <c r="H5" s="136"/>
      <c r="I5" s="136"/>
    </row>
    <row r="6" spans="1:9" ht="22.95" customHeight="1" x14ac:dyDescent="0.3">
      <c r="A6" s="136">
        <f>IF(COUNTIFS(PlanResults[PlanID],A5)&lt;&gt;1,0,MATCH(A5,PlanResults[PlanID],0))</f>
        <v>1</v>
      </c>
      <c r="B6" s="181" t="s">
        <v>325</v>
      </c>
      <c r="C6" s="181"/>
      <c r="D6" s="181"/>
      <c r="E6" s="181"/>
      <c r="F6" s="181"/>
      <c r="G6" s="181"/>
      <c r="H6" s="181"/>
      <c r="I6" s="181"/>
    </row>
    <row r="7" spans="1:9" ht="22.95" customHeight="1" x14ac:dyDescent="0.3">
      <c r="A7" s="136"/>
      <c r="B7" s="136"/>
      <c r="C7" s="136"/>
      <c r="D7" s="136"/>
      <c r="E7" s="136"/>
      <c r="F7" s="136"/>
      <c r="G7" s="136"/>
      <c r="H7" s="136"/>
      <c r="I7" s="136"/>
    </row>
    <row r="8" spans="1:9" ht="22.95" customHeight="1" x14ac:dyDescent="0.3">
      <c r="A8" s="136"/>
      <c r="B8" s="139" t="s">
        <v>326</v>
      </c>
      <c r="C8" s="136"/>
      <c r="D8" s="136"/>
      <c r="E8" s="139" t="s">
        <v>327</v>
      </c>
      <c r="F8" s="136"/>
      <c r="G8" s="136"/>
      <c r="H8" s="139" t="s">
        <v>328</v>
      </c>
      <c r="I8" s="136"/>
    </row>
    <row r="9" spans="1:9" ht="34.950000000000003" customHeight="1" x14ac:dyDescent="0.3">
      <c r="A9" s="136"/>
      <c r="B9" s="185">
        <f>IF($A$6=0,"Choose a stock",INDEX(PlanResults[Quantity],$A$6))</f>
        <v>36</v>
      </c>
      <c r="C9" s="186"/>
      <c r="D9" s="186"/>
      <c r="E9" s="187">
        <f>IF($A$6=0,"Choose a stock",INDEX(PlanResults[Cash needed],$A$6))</f>
        <v>19820</v>
      </c>
      <c r="F9" s="187"/>
      <c r="G9" s="187"/>
      <c r="H9" s="188">
        <f>IF($A$6=0,"Choose a stock",INDEX(PlanResults[Reward / risk],$A$6))</f>
        <v>1.8518518518518519</v>
      </c>
      <c r="I9" s="186"/>
    </row>
    <row r="10" spans="1:9" ht="22.95" customHeight="1" x14ac:dyDescent="0.3">
      <c r="A10" s="136"/>
      <c r="B10" s="136"/>
      <c r="C10" s="136"/>
      <c r="D10" s="136"/>
      <c r="E10" s="136"/>
      <c r="F10" s="136"/>
      <c r="G10" s="136"/>
      <c r="H10" s="136"/>
      <c r="I10" s="136"/>
    </row>
    <row r="11" spans="1:9" ht="22.95" customHeight="1" x14ac:dyDescent="0.3">
      <c r="A11" s="136"/>
      <c r="B11" s="139" t="s">
        <v>329</v>
      </c>
      <c r="C11" s="136"/>
      <c r="D11" s="136"/>
      <c r="E11" s="139" t="s">
        <v>330</v>
      </c>
      <c r="F11" s="136"/>
      <c r="G11" s="136"/>
      <c r="H11" s="139" t="s">
        <v>331</v>
      </c>
      <c r="I11" s="136"/>
    </row>
    <row r="12" spans="1:9" ht="34.950000000000003" customHeight="1" x14ac:dyDescent="0.3">
      <c r="A12" s="136"/>
      <c r="B12" s="187">
        <f>IF($A$6=0,"Choose a stock",INDEX(PlanResults[Loss at stop],$A$6))</f>
        <v>945</v>
      </c>
      <c r="C12" s="187"/>
      <c r="D12" s="187"/>
      <c r="E12" s="187">
        <f>IF($A$6=0,"Choose a stock",INDEX(PlanResults[Net target gain],$A$6))</f>
        <v>1750</v>
      </c>
      <c r="F12" s="187"/>
      <c r="G12" s="187"/>
      <c r="H12" s="187">
        <f>IF(COUNTIFS(WatchSettings[Instrument],SUBSTITUTE($A$5,"PLAN-",""))&lt;&gt;1,"n.a.",INDEX(WatchSettings[Price (INR)],MATCH(SUBSTITUTE($A$5,"PLAN-",""),WatchSettings[Instrument],0)))</f>
        <v>547.4307</v>
      </c>
      <c r="I12" s="187"/>
    </row>
    <row r="13" spans="1:9" ht="22.95" customHeight="1" x14ac:dyDescent="0.3">
      <c r="A13" s="136"/>
      <c r="B13" s="136"/>
      <c r="C13" s="136"/>
      <c r="D13" s="136"/>
      <c r="E13" s="136"/>
      <c r="F13" s="136"/>
      <c r="G13" s="136"/>
      <c r="H13" s="136"/>
      <c r="I13" s="136"/>
    </row>
    <row r="14" spans="1:9" ht="28.05" customHeight="1" x14ac:dyDescent="0.3">
      <c r="A14" s="136"/>
      <c r="B14" s="189" t="str">
        <f>IF($A$6=0,"Choose a stock",INDEX(PlanResults[Plan status],$A$6))</f>
        <v>Calculated draft</v>
      </c>
      <c r="C14" s="189"/>
      <c r="D14" s="189"/>
      <c r="E14" s="189"/>
      <c r="F14" s="189"/>
      <c r="G14" s="189"/>
      <c r="H14" s="189"/>
      <c r="I14" s="189"/>
    </row>
    <row r="15" spans="1:9" ht="28.05" customHeight="1" x14ac:dyDescent="0.3">
      <c r="A15" s="136"/>
      <c r="B15" s="171" t="str">
        <f ca="1">IF(COUNTIFS(WatchSettings[Instrument],SUBSTITUTE($A$5,"PLAN-",""))&lt;&gt;1,"No unique Watchlist quote",INDEX(WatchSettings[Status],MATCH(SUBSTITUTE($A$5,"PLAN-",""),WatchSettings[Instrument],0))&amp;". Market time: "&amp;IF(ISNUMBER(INDEX(WatchSettings[Price observed],MATCH(SUBSTITUTE($A$5,"PLAN-",""),WatchSettings[Instrument],0))),TEXT(INDEX(WatchSettings[Price observed],MATCH(SUBSTITUTE($A$5,"PLAN-",""),WatchSettings[Instrument],0)),"dd mmm yyyy hh:mm")&amp;" IST","unavailable")&amp;". Planned entry is entered separately below.")</f>
        <v>Demo price. Market time: 18 Sep 2026 15:30 IST. Planned entry is entered separately below.</v>
      </c>
      <c r="C15" s="171"/>
      <c r="D15" s="171"/>
      <c r="E15" s="171"/>
      <c r="F15" s="171"/>
      <c r="G15" s="171"/>
      <c r="H15" s="171"/>
      <c r="I15" s="171"/>
    </row>
    <row r="16" spans="1:9" ht="22.95" customHeight="1" x14ac:dyDescent="0.3">
      <c r="A16" s="136"/>
      <c r="B16" s="136"/>
      <c r="C16" s="136"/>
      <c r="D16" s="136"/>
      <c r="E16" s="136"/>
      <c r="F16" s="136"/>
      <c r="G16" s="136"/>
      <c r="H16" s="136"/>
      <c r="I16" s="136"/>
    </row>
    <row r="17" spans="1:9" ht="22.95" customHeight="1" x14ac:dyDescent="0.3">
      <c r="A17" s="136"/>
      <c r="B17" s="174" t="s">
        <v>332</v>
      </c>
      <c r="C17" s="174"/>
      <c r="D17" s="174"/>
      <c r="E17" s="174"/>
      <c r="F17" s="174"/>
      <c r="G17" s="174"/>
      <c r="H17" s="174"/>
      <c r="I17" s="174"/>
    </row>
    <row r="18" spans="1:9" ht="22.95" customHeight="1" x14ac:dyDescent="0.3">
      <c r="A18" s="136"/>
      <c r="B18" s="140" t="s">
        <v>333</v>
      </c>
      <c r="C18" s="136"/>
      <c r="D18" s="136"/>
      <c r="E18" s="136"/>
      <c r="F18" s="136"/>
      <c r="G18" s="136"/>
      <c r="H18" s="136"/>
      <c r="I18" s="136"/>
    </row>
    <row r="19" spans="1:9" ht="36" customHeight="1" x14ac:dyDescent="0.3">
      <c r="A19" s="136" t="s">
        <v>334</v>
      </c>
      <c r="B19" s="141" t="s">
        <v>255</v>
      </c>
      <c r="C19" s="141" t="s">
        <v>335</v>
      </c>
      <c r="D19" s="141" t="s">
        <v>336</v>
      </c>
      <c r="E19" s="141" t="s">
        <v>337</v>
      </c>
      <c r="F19" s="141" t="s">
        <v>338</v>
      </c>
      <c r="G19" s="141" t="s">
        <v>339</v>
      </c>
      <c r="H19" s="141" t="s">
        <v>340</v>
      </c>
      <c r="I19" s="141" t="s">
        <v>341</v>
      </c>
    </row>
    <row r="20" spans="1:9" ht="37.950000000000003" customHeight="1" x14ac:dyDescent="0.3">
      <c r="A20" s="136" t="s">
        <v>342</v>
      </c>
      <c r="B20" s="136" t="s">
        <v>47</v>
      </c>
      <c r="C20" s="151">
        <v>550</v>
      </c>
      <c r="D20" s="151">
        <v>525</v>
      </c>
      <c r="E20" s="151">
        <v>600</v>
      </c>
      <c r="F20" s="151">
        <v>2000</v>
      </c>
      <c r="G20" s="151">
        <v>20000</v>
      </c>
      <c r="H20" s="143" t="s">
        <v>343</v>
      </c>
      <c r="I20" s="144"/>
    </row>
    <row r="21" spans="1:9" ht="37.950000000000003" customHeight="1" x14ac:dyDescent="0.3">
      <c r="A21" s="136" t="s">
        <v>344</v>
      </c>
      <c r="B21" s="136" t="s">
        <v>50</v>
      </c>
      <c r="C21" s="151"/>
      <c r="D21" s="151"/>
      <c r="E21" s="151"/>
      <c r="F21" s="151"/>
      <c r="G21" s="151"/>
      <c r="H21" s="143"/>
      <c r="I21" s="144"/>
    </row>
    <row r="22" spans="1:9" ht="37.950000000000003" customHeight="1" x14ac:dyDescent="0.3">
      <c r="A22" s="136" t="s">
        <v>345</v>
      </c>
      <c r="B22" s="136" t="s">
        <v>53</v>
      </c>
      <c r="C22" s="151"/>
      <c r="D22" s="151"/>
      <c r="E22" s="151"/>
      <c r="F22" s="151"/>
      <c r="G22" s="151"/>
      <c r="H22" s="143"/>
      <c r="I22" s="144"/>
    </row>
    <row r="23" spans="1:9" ht="37.950000000000003" customHeight="1" x14ac:dyDescent="0.3">
      <c r="A23" s="136" t="s">
        <v>346</v>
      </c>
      <c r="B23" s="136" t="s">
        <v>56</v>
      </c>
      <c r="C23" s="151"/>
      <c r="D23" s="151"/>
      <c r="E23" s="151"/>
      <c r="F23" s="151"/>
      <c r="G23" s="151"/>
      <c r="H23" s="143"/>
      <c r="I23" s="144"/>
    </row>
    <row r="24" spans="1:9" ht="37.950000000000003" customHeight="1" x14ac:dyDescent="0.3">
      <c r="A24" s="136" t="s">
        <v>347</v>
      </c>
      <c r="B24" s="136" t="s">
        <v>59</v>
      </c>
      <c r="C24" s="151"/>
      <c r="D24" s="151"/>
      <c r="E24" s="151"/>
      <c r="F24" s="151"/>
      <c r="G24" s="151"/>
      <c r="H24" s="143"/>
      <c r="I24" s="144"/>
    </row>
    <row r="25" spans="1:9" ht="37.950000000000003" customHeight="1" x14ac:dyDescent="0.3">
      <c r="A25" s="136" t="s">
        <v>348</v>
      </c>
      <c r="B25" s="145" t="s">
        <v>62</v>
      </c>
      <c r="C25" s="152"/>
      <c r="D25" s="152"/>
      <c r="E25" s="152"/>
      <c r="F25" s="152"/>
      <c r="G25" s="152"/>
      <c r="H25" s="147"/>
      <c r="I25" s="148"/>
    </row>
    <row r="26" spans="1:9" ht="22.95" customHeight="1" x14ac:dyDescent="0.3">
      <c r="A26" s="136"/>
      <c r="B26" s="183" t="s">
        <v>349</v>
      </c>
      <c r="C26" s="183"/>
      <c r="D26" s="183"/>
      <c r="E26" s="183"/>
      <c r="F26" s="183"/>
      <c r="G26" s="183"/>
      <c r="H26" s="183"/>
      <c r="I26" s="183"/>
    </row>
    <row r="27" spans="1:9" ht="22.95" customHeight="1" x14ac:dyDescent="0.3">
      <c r="A27" s="136"/>
      <c r="B27" s="184" t="s">
        <v>350</v>
      </c>
      <c r="C27" s="184"/>
      <c r="D27" s="184"/>
      <c r="E27" s="184"/>
      <c r="F27" s="184"/>
      <c r="G27" s="184"/>
      <c r="H27" s="184"/>
      <c r="I27" s="184"/>
    </row>
    <row r="28" spans="1:9" ht="22.95" customHeight="1" x14ac:dyDescent="0.3">
      <c r="A28" s="136"/>
      <c r="B28" s="136"/>
      <c r="C28" s="136"/>
      <c r="D28" s="136"/>
      <c r="E28" s="136"/>
      <c r="F28" s="136"/>
      <c r="G28" s="136"/>
      <c r="H28" s="136"/>
      <c r="I28" s="136"/>
    </row>
    <row r="29" spans="1:9" ht="22.95" customHeight="1" x14ac:dyDescent="0.3">
      <c r="A29" s="136"/>
      <c r="B29" s="140" t="s">
        <v>351</v>
      </c>
      <c r="C29" s="136"/>
      <c r="D29" s="136"/>
      <c r="E29" s="136"/>
      <c r="F29" s="136"/>
      <c r="G29" s="136"/>
      <c r="H29" s="136"/>
      <c r="I29" s="136"/>
    </row>
    <row r="30" spans="1:9" ht="36" customHeight="1" x14ac:dyDescent="0.3">
      <c r="A30" s="136" t="s">
        <v>334</v>
      </c>
      <c r="B30" s="141" t="s">
        <v>255</v>
      </c>
      <c r="C30" s="141" t="s">
        <v>352</v>
      </c>
      <c r="D30" s="141" t="s">
        <v>353</v>
      </c>
      <c r="E30" s="141" t="s">
        <v>354</v>
      </c>
      <c r="F30" s="141" t="s">
        <v>355</v>
      </c>
      <c r="G30" s="141" t="s">
        <v>356</v>
      </c>
      <c r="H30" s="141" t="s">
        <v>357</v>
      </c>
      <c r="I30" s="141" t="s">
        <v>358</v>
      </c>
    </row>
    <row r="31" spans="1:9" ht="31.05" customHeight="1" x14ac:dyDescent="0.3">
      <c r="A31" s="136" t="s">
        <v>342</v>
      </c>
      <c r="B31" s="149" t="s">
        <v>47</v>
      </c>
      <c r="C31" s="142">
        <v>20</v>
      </c>
      <c r="D31" s="142">
        <v>25</v>
      </c>
      <c r="E31" s="142">
        <v>30</v>
      </c>
      <c r="F31" s="153">
        <f>IF(I31&lt;&gt;"Valid","n.a.",INDEX(PlanInputs[Entry],MATCH($A31,PlanInputs[PlanID],0))-INDEX(PlanInputs[Stop],MATCH($A31,PlanInputs[PlanID],0)))</f>
        <v>25</v>
      </c>
      <c r="G31" s="153">
        <f>IF(I31&lt;&gt;"Valid","n.a.",INDEX(PlanInputs[Risk budget],MATCH($A31,PlanInputs[PlanID],0))-C31-D31)</f>
        <v>1955</v>
      </c>
      <c r="H31" s="153">
        <f>IF(I31&lt;&gt;"Valid","n.a.",INDEX(PlanInputs[Cash budget],MATCH($A31,PlanInputs[PlanID],0))-C31)</f>
        <v>19980</v>
      </c>
      <c r="I31" s="149" t="str">
        <f>IF(COUNTIFS(PlanInputs[PlanID],$A31)&lt;&gt;1,"Plan key missing or duplicate",IF(COUNTIFS(PlanCosts[PlanID],$A31)&lt;&gt;1,"Charges key duplicated",IF(OR(COUNT(INDEX(PlanInputs[[Entry]:[Cash budget]],MATCH($A31,PlanInputs[PlanID],0),0))&lt;&gt;5,COUNT(C31:E31)&lt;&gt;3),"Enter all prices, budgets and charges",IF(MIN(C31:E31)&lt;0,"Charges must be zero or positive",IF(OR(INDEX(PlanInputs[Entry],MATCH($A31,PlanInputs[PlanID],0))&lt;=0,INDEX(PlanInputs[Stop],MATCH($A31,PlanInputs[PlanID],0))&lt;=0,INDEX(PlanInputs[Target],MATCH($A31,PlanInputs[PlanID],0))&lt;=0,INDEX(PlanInputs[Risk budget],MATCH($A31,PlanInputs[PlanID],0))&lt;=0,INDEX(PlanInputs[Cash budget],MATCH($A31,PlanInputs[PlanID],0))&lt;=0),"Prices and budgets must be positive",IF(INDEX(PlanInputs[Stop],MATCH($A31,PlanInputs[PlanID],0))&gt;=INDEX(PlanInputs[Entry],MATCH($A31,PlanInputs[PlanID],0)),"Stop must be below entry",IF(INDEX(PlanInputs[Target],MATCH($A31,PlanInputs[PlanID],0))&lt;=INDEX(PlanInputs[Entry],MATCH($A31,PlanInputs[PlanID],0)),"Target must be above entry","Valid")))))))</f>
        <v>Valid</v>
      </c>
    </row>
    <row r="32" spans="1:9" ht="31.05" customHeight="1" x14ac:dyDescent="0.3">
      <c r="A32" s="136" t="s">
        <v>344</v>
      </c>
      <c r="B32" s="149" t="s">
        <v>50</v>
      </c>
      <c r="C32" s="142">
        <v>0</v>
      </c>
      <c r="D32" s="142">
        <v>0</v>
      </c>
      <c r="E32" s="142">
        <v>0</v>
      </c>
      <c r="F32" s="153" t="str">
        <f>IF(I32&lt;&gt;"Valid","n.a.",INDEX(PlanInputs[Entry],MATCH($A32,PlanInputs[PlanID],0))-INDEX(PlanInputs[Stop],MATCH($A32,PlanInputs[PlanID],0)))</f>
        <v>n.a.</v>
      </c>
      <c r="G32" s="153" t="str">
        <f>IF(I32&lt;&gt;"Valid","n.a.",INDEX(PlanInputs[Risk budget],MATCH($A32,PlanInputs[PlanID],0))-C32-D32)</f>
        <v>n.a.</v>
      </c>
      <c r="H32" s="153" t="str">
        <f>IF(I32&lt;&gt;"Valid","n.a.",INDEX(PlanInputs[Cash budget],MATCH($A32,PlanInputs[PlanID],0))-C32)</f>
        <v>n.a.</v>
      </c>
      <c r="I32" s="149" t="str">
        <f>IF(COUNTIFS(PlanInputs[PlanID],$A32)&lt;&gt;1,"Plan key missing or duplicate",IF(COUNTIFS(PlanCosts[PlanID],$A32)&lt;&gt;1,"Charges key duplicated",IF(OR(COUNT(INDEX(PlanInputs[[Entry]:[Cash budget]],MATCH($A32,PlanInputs[PlanID],0),0))&lt;&gt;5,COUNT(C32:E32)&lt;&gt;3),"Enter all prices, budgets and charges",IF(MIN(C32:E32)&lt;0,"Charges must be zero or positive",IF(OR(INDEX(PlanInputs[Entry],MATCH($A32,PlanInputs[PlanID],0))&lt;=0,INDEX(PlanInputs[Stop],MATCH($A32,PlanInputs[PlanID],0))&lt;=0,INDEX(PlanInputs[Target],MATCH($A32,PlanInputs[PlanID],0))&lt;=0,INDEX(PlanInputs[Risk budget],MATCH($A32,PlanInputs[PlanID],0))&lt;=0,INDEX(PlanInputs[Cash budget],MATCH($A32,PlanInputs[PlanID],0))&lt;=0),"Prices and budgets must be positive",IF(INDEX(PlanInputs[Stop],MATCH($A32,PlanInputs[PlanID],0))&gt;=INDEX(PlanInputs[Entry],MATCH($A32,PlanInputs[PlanID],0)),"Stop must be below entry",IF(INDEX(PlanInputs[Target],MATCH($A32,PlanInputs[PlanID],0))&lt;=INDEX(PlanInputs[Entry],MATCH($A32,PlanInputs[PlanID],0)),"Target must be above entry","Valid")))))))</f>
        <v>Enter all prices, budgets and charges</v>
      </c>
    </row>
    <row r="33" spans="1:9" ht="31.05" customHeight="1" x14ac:dyDescent="0.3">
      <c r="A33" s="136" t="s">
        <v>345</v>
      </c>
      <c r="B33" s="149" t="s">
        <v>53</v>
      </c>
      <c r="C33" s="142">
        <v>0</v>
      </c>
      <c r="D33" s="142">
        <v>0</v>
      </c>
      <c r="E33" s="142">
        <v>0</v>
      </c>
      <c r="F33" s="153" t="str">
        <f>IF(I33&lt;&gt;"Valid","n.a.",INDEX(PlanInputs[Entry],MATCH($A33,PlanInputs[PlanID],0))-INDEX(PlanInputs[Stop],MATCH($A33,PlanInputs[PlanID],0)))</f>
        <v>n.a.</v>
      </c>
      <c r="G33" s="153" t="str">
        <f>IF(I33&lt;&gt;"Valid","n.a.",INDEX(PlanInputs[Risk budget],MATCH($A33,PlanInputs[PlanID],0))-C33-D33)</f>
        <v>n.a.</v>
      </c>
      <c r="H33" s="153" t="str">
        <f>IF(I33&lt;&gt;"Valid","n.a.",INDEX(PlanInputs[Cash budget],MATCH($A33,PlanInputs[PlanID],0))-C33)</f>
        <v>n.a.</v>
      </c>
      <c r="I33" s="149" t="str">
        <f>IF(COUNTIFS(PlanInputs[PlanID],$A33)&lt;&gt;1,"Plan key missing or duplicate",IF(COUNTIFS(PlanCosts[PlanID],$A33)&lt;&gt;1,"Charges key duplicated",IF(OR(COUNT(INDEX(PlanInputs[[Entry]:[Cash budget]],MATCH($A33,PlanInputs[PlanID],0),0))&lt;&gt;5,COUNT(C33:E33)&lt;&gt;3),"Enter all prices, budgets and charges",IF(MIN(C33:E33)&lt;0,"Charges must be zero or positive",IF(OR(INDEX(PlanInputs[Entry],MATCH($A33,PlanInputs[PlanID],0))&lt;=0,INDEX(PlanInputs[Stop],MATCH($A33,PlanInputs[PlanID],0))&lt;=0,INDEX(PlanInputs[Target],MATCH($A33,PlanInputs[PlanID],0))&lt;=0,INDEX(PlanInputs[Risk budget],MATCH($A33,PlanInputs[PlanID],0))&lt;=0,INDEX(PlanInputs[Cash budget],MATCH($A33,PlanInputs[PlanID],0))&lt;=0),"Prices and budgets must be positive",IF(INDEX(PlanInputs[Stop],MATCH($A33,PlanInputs[PlanID],0))&gt;=INDEX(PlanInputs[Entry],MATCH($A33,PlanInputs[PlanID],0)),"Stop must be below entry",IF(INDEX(PlanInputs[Target],MATCH($A33,PlanInputs[PlanID],0))&lt;=INDEX(PlanInputs[Entry],MATCH($A33,PlanInputs[PlanID],0)),"Target must be above entry","Valid")))))))</f>
        <v>Enter all prices, budgets and charges</v>
      </c>
    </row>
    <row r="34" spans="1:9" ht="31.05" customHeight="1" x14ac:dyDescent="0.3">
      <c r="A34" s="136" t="s">
        <v>346</v>
      </c>
      <c r="B34" s="149" t="s">
        <v>56</v>
      </c>
      <c r="C34" s="142">
        <v>0</v>
      </c>
      <c r="D34" s="142">
        <v>0</v>
      </c>
      <c r="E34" s="142">
        <v>0</v>
      </c>
      <c r="F34" s="153" t="str">
        <f>IF(I34&lt;&gt;"Valid","n.a.",INDEX(PlanInputs[Entry],MATCH($A34,PlanInputs[PlanID],0))-INDEX(PlanInputs[Stop],MATCH($A34,PlanInputs[PlanID],0)))</f>
        <v>n.a.</v>
      </c>
      <c r="G34" s="153" t="str">
        <f>IF(I34&lt;&gt;"Valid","n.a.",INDEX(PlanInputs[Risk budget],MATCH($A34,PlanInputs[PlanID],0))-C34-D34)</f>
        <v>n.a.</v>
      </c>
      <c r="H34" s="153" t="str">
        <f>IF(I34&lt;&gt;"Valid","n.a.",INDEX(PlanInputs[Cash budget],MATCH($A34,PlanInputs[PlanID],0))-C34)</f>
        <v>n.a.</v>
      </c>
      <c r="I34" s="149" t="str">
        <f>IF(COUNTIFS(PlanInputs[PlanID],$A34)&lt;&gt;1,"Plan key missing or duplicate",IF(COUNTIFS(PlanCosts[PlanID],$A34)&lt;&gt;1,"Charges key duplicated",IF(OR(COUNT(INDEX(PlanInputs[[Entry]:[Cash budget]],MATCH($A34,PlanInputs[PlanID],0),0))&lt;&gt;5,COUNT(C34:E34)&lt;&gt;3),"Enter all prices, budgets and charges",IF(MIN(C34:E34)&lt;0,"Charges must be zero or positive",IF(OR(INDEX(PlanInputs[Entry],MATCH($A34,PlanInputs[PlanID],0))&lt;=0,INDEX(PlanInputs[Stop],MATCH($A34,PlanInputs[PlanID],0))&lt;=0,INDEX(PlanInputs[Target],MATCH($A34,PlanInputs[PlanID],0))&lt;=0,INDEX(PlanInputs[Risk budget],MATCH($A34,PlanInputs[PlanID],0))&lt;=0,INDEX(PlanInputs[Cash budget],MATCH($A34,PlanInputs[PlanID],0))&lt;=0),"Prices and budgets must be positive",IF(INDEX(PlanInputs[Stop],MATCH($A34,PlanInputs[PlanID],0))&gt;=INDEX(PlanInputs[Entry],MATCH($A34,PlanInputs[PlanID],0)),"Stop must be below entry",IF(INDEX(PlanInputs[Target],MATCH($A34,PlanInputs[PlanID],0))&lt;=INDEX(PlanInputs[Entry],MATCH($A34,PlanInputs[PlanID],0)),"Target must be above entry","Valid")))))))</f>
        <v>Enter all prices, budgets and charges</v>
      </c>
    </row>
    <row r="35" spans="1:9" ht="31.05" customHeight="1" x14ac:dyDescent="0.3">
      <c r="A35" s="136" t="s">
        <v>347</v>
      </c>
      <c r="B35" s="149" t="s">
        <v>59</v>
      </c>
      <c r="C35" s="142">
        <v>0</v>
      </c>
      <c r="D35" s="142">
        <v>0</v>
      </c>
      <c r="E35" s="142">
        <v>0</v>
      </c>
      <c r="F35" s="153" t="str">
        <f>IF(I35&lt;&gt;"Valid","n.a.",INDEX(PlanInputs[Entry],MATCH($A35,PlanInputs[PlanID],0))-INDEX(PlanInputs[Stop],MATCH($A35,PlanInputs[PlanID],0)))</f>
        <v>n.a.</v>
      </c>
      <c r="G35" s="153" t="str">
        <f>IF(I35&lt;&gt;"Valid","n.a.",INDEX(PlanInputs[Risk budget],MATCH($A35,PlanInputs[PlanID],0))-C35-D35)</f>
        <v>n.a.</v>
      </c>
      <c r="H35" s="153" t="str">
        <f>IF(I35&lt;&gt;"Valid","n.a.",INDEX(PlanInputs[Cash budget],MATCH($A35,PlanInputs[PlanID],0))-C35)</f>
        <v>n.a.</v>
      </c>
      <c r="I35" s="149" t="str">
        <f>IF(COUNTIFS(PlanInputs[PlanID],$A35)&lt;&gt;1,"Plan key missing or duplicate",IF(COUNTIFS(PlanCosts[PlanID],$A35)&lt;&gt;1,"Charges key duplicated",IF(OR(COUNT(INDEX(PlanInputs[[Entry]:[Cash budget]],MATCH($A35,PlanInputs[PlanID],0),0))&lt;&gt;5,COUNT(C35:E35)&lt;&gt;3),"Enter all prices, budgets and charges",IF(MIN(C35:E35)&lt;0,"Charges must be zero or positive",IF(OR(INDEX(PlanInputs[Entry],MATCH($A35,PlanInputs[PlanID],0))&lt;=0,INDEX(PlanInputs[Stop],MATCH($A35,PlanInputs[PlanID],0))&lt;=0,INDEX(PlanInputs[Target],MATCH($A35,PlanInputs[PlanID],0))&lt;=0,INDEX(PlanInputs[Risk budget],MATCH($A35,PlanInputs[PlanID],0))&lt;=0,INDEX(PlanInputs[Cash budget],MATCH($A35,PlanInputs[PlanID],0))&lt;=0),"Prices and budgets must be positive",IF(INDEX(PlanInputs[Stop],MATCH($A35,PlanInputs[PlanID],0))&gt;=INDEX(PlanInputs[Entry],MATCH($A35,PlanInputs[PlanID],0)),"Stop must be below entry",IF(INDEX(PlanInputs[Target],MATCH($A35,PlanInputs[PlanID],0))&lt;=INDEX(PlanInputs[Entry],MATCH($A35,PlanInputs[PlanID],0)),"Target must be above entry","Valid")))))))</f>
        <v>Enter all prices, budgets and charges</v>
      </c>
    </row>
    <row r="36" spans="1:9" ht="31.05" customHeight="1" x14ac:dyDescent="0.3">
      <c r="A36" s="136" t="s">
        <v>348</v>
      </c>
      <c r="B36" s="150" t="s">
        <v>62</v>
      </c>
      <c r="C36" s="146">
        <v>0</v>
      </c>
      <c r="D36" s="146">
        <v>0</v>
      </c>
      <c r="E36" s="146">
        <v>0</v>
      </c>
      <c r="F36" s="154" t="str">
        <f>IF(I36&lt;&gt;"Valid","n.a.",INDEX(PlanInputs[Entry],MATCH($A36,PlanInputs[PlanID],0))-INDEX(PlanInputs[Stop],MATCH($A36,PlanInputs[PlanID],0)))</f>
        <v>n.a.</v>
      </c>
      <c r="G36" s="154" t="str">
        <f>IF(I36&lt;&gt;"Valid","n.a.",INDEX(PlanInputs[Risk budget],MATCH($A36,PlanInputs[PlanID],0))-C36-D36)</f>
        <v>n.a.</v>
      </c>
      <c r="H36" s="154" t="str">
        <f>IF(I36&lt;&gt;"Valid","n.a.",INDEX(PlanInputs[Cash budget],MATCH($A36,PlanInputs[PlanID],0))-C36)</f>
        <v>n.a.</v>
      </c>
      <c r="I36" s="150" t="str">
        <f>IF(COUNTIFS(PlanInputs[PlanID],$A36)&lt;&gt;1,"Plan key missing or duplicate",IF(COUNTIFS(PlanCosts[PlanID],$A36)&lt;&gt;1,"Charges key duplicated",IF(OR(COUNT(INDEX(PlanInputs[[Entry]:[Cash budget]],MATCH($A36,PlanInputs[PlanID],0),0))&lt;&gt;5,COUNT(C36:E36)&lt;&gt;3),"Enter all prices, budgets and charges",IF(MIN(C36:E36)&lt;0,"Charges must be zero or positive",IF(OR(INDEX(PlanInputs[Entry],MATCH($A36,PlanInputs[PlanID],0))&lt;=0,INDEX(PlanInputs[Stop],MATCH($A36,PlanInputs[PlanID],0))&lt;=0,INDEX(PlanInputs[Target],MATCH($A36,PlanInputs[PlanID],0))&lt;=0,INDEX(PlanInputs[Risk budget],MATCH($A36,PlanInputs[PlanID],0))&lt;=0,INDEX(PlanInputs[Cash budget],MATCH($A36,PlanInputs[PlanID],0))&lt;=0),"Prices and budgets must be positive",IF(INDEX(PlanInputs[Stop],MATCH($A36,PlanInputs[PlanID],0))&gt;=INDEX(PlanInputs[Entry],MATCH($A36,PlanInputs[PlanID],0)),"Stop must be below entry",IF(INDEX(PlanInputs[Target],MATCH($A36,PlanInputs[PlanID],0))&lt;=INDEX(PlanInputs[Entry],MATCH($A36,PlanInputs[PlanID],0)),"Target must be above entry","Valid")))))))</f>
        <v>Enter all prices, budgets and charges</v>
      </c>
    </row>
    <row r="37" spans="1:9" ht="22.95" customHeight="1" x14ac:dyDescent="0.3">
      <c r="A37" s="136"/>
      <c r="B37" s="183" t="s">
        <v>359</v>
      </c>
      <c r="C37" s="183"/>
      <c r="D37" s="183"/>
      <c r="E37" s="183"/>
      <c r="F37" s="183"/>
      <c r="G37" s="183"/>
      <c r="H37" s="183"/>
      <c r="I37" s="183"/>
    </row>
    <row r="38" spans="1:9" ht="22.95" customHeight="1" x14ac:dyDescent="0.3">
      <c r="A38" s="136"/>
      <c r="B38" s="184" t="s">
        <v>360</v>
      </c>
      <c r="C38" s="184"/>
      <c r="D38" s="184"/>
      <c r="E38" s="184"/>
      <c r="F38" s="184"/>
      <c r="G38" s="184"/>
      <c r="H38" s="184"/>
      <c r="I38" s="184"/>
    </row>
    <row r="39" spans="1:9" ht="22.95" customHeight="1" x14ac:dyDescent="0.3">
      <c r="A39" s="136"/>
      <c r="B39" s="136"/>
      <c r="C39" s="136"/>
      <c r="D39" s="136"/>
      <c r="E39" s="136"/>
      <c r="F39" s="136"/>
      <c r="G39" s="136"/>
      <c r="H39" s="136"/>
      <c r="I39" s="136"/>
    </row>
    <row r="40" spans="1:9" ht="22.95" customHeight="1" x14ac:dyDescent="0.3">
      <c r="A40" s="136"/>
      <c r="B40" s="140" t="s">
        <v>361</v>
      </c>
      <c r="C40" s="136"/>
      <c r="D40" s="136"/>
      <c r="E40" s="136"/>
      <c r="F40" s="136"/>
      <c r="G40" s="136"/>
      <c r="H40" s="136"/>
      <c r="I40" s="136"/>
    </row>
    <row r="41" spans="1:9" ht="36" customHeight="1" x14ac:dyDescent="0.3">
      <c r="A41" s="136" t="s">
        <v>334</v>
      </c>
      <c r="B41" s="141" t="s">
        <v>255</v>
      </c>
      <c r="C41" s="141" t="s">
        <v>74</v>
      </c>
      <c r="D41" s="141" t="s">
        <v>327</v>
      </c>
      <c r="E41" s="141" t="s">
        <v>362</v>
      </c>
      <c r="F41" s="141" t="s">
        <v>363</v>
      </c>
      <c r="G41" s="141" t="s">
        <v>364</v>
      </c>
      <c r="H41" s="141" t="s">
        <v>365</v>
      </c>
      <c r="I41" s="141" t="s">
        <v>366</v>
      </c>
    </row>
    <row r="42" spans="1:9" ht="31.95" customHeight="1" x14ac:dyDescent="0.3">
      <c r="A42" s="136" t="s">
        <v>342</v>
      </c>
      <c r="B42" s="149" t="s">
        <v>47</v>
      </c>
      <c r="C42" s="155">
        <f>IF(COUNTIFS(PlanCosts[PlanID],$A42)&lt;&gt;1,"n.a.",IF(INDEX(PlanCosts[Input check],MATCH($A42,PlanCosts[PlanID],0))&lt;&gt;"Valid","n.a.",MAX(0,ROUNDDOWN(MIN(INDEX(PlanCosts[Risk after charges],MATCH($A42,PlanCosts[PlanID],0))/INDEX(PlanCosts[Loss / share],MATCH($A42,PlanCosts[PlanID],0)),INDEX(PlanCosts[Cash after entry fees],MATCH($A42,PlanCosts[PlanID],0))/INDEX(PlanInputs[Entry],MATCH($A42,PlanInputs[PlanID],0))),0))))</f>
        <v>36</v>
      </c>
      <c r="D42" s="153">
        <f>IF(NOT(ISNUMBER(C42)),"n.a.",IF(C42=0,"n.a.",C42*INDEX(PlanInputs[Entry],MATCH($A42,PlanInputs[PlanID],0))+INDEX(PlanCosts[Entry charges],MATCH($A42,PlanCosts[PlanID],0))))</f>
        <v>19820</v>
      </c>
      <c r="E42" s="153">
        <f>IF(NOT(ISNUMBER(C42)),"n.a.",IF(C42=0,"n.a.",C42*INDEX(PlanCosts[Loss / share],MATCH($A42,PlanCosts[PlanID],0))+INDEX(PlanCosts[Entry charges],MATCH($A42,PlanCosts[PlanID],0))+INDEX(PlanCosts[Stop exit charges],MATCH($A42,PlanCosts[PlanID],0))))</f>
        <v>945</v>
      </c>
      <c r="F42" s="153">
        <f>IF(NOT(ISNUMBER(C42)),"n.a.",IF(C42=0,"n.a.",C42*(INDEX(PlanInputs[Target],MATCH($A42,PlanInputs[PlanID],0))-INDEX(PlanInputs[Entry],MATCH($A42,PlanInputs[PlanID],0)))-INDEX(PlanCosts[Entry charges],MATCH($A42,PlanCosts[PlanID],0))-INDEX(PlanCosts[Target exit charges],MATCH($A42,PlanCosts[PlanID],0))))</f>
        <v>1750</v>
      </c>
      <c r="G42" s="156">
        <f t="shared" ref="G42" si="0">IF(NOT(ISNUMBER(E42)),"n.a.",IF(E42&lt;=0,"n.a.",F42/E42))</f>
        <v>1.8518518518518519</v>
      </c>
      <c r="H42" s="149" t="str">
        <f>IF(COUNTIFS(PlanCosts[PlanID],$A42)&lt;&gt;1,"Charges key missing or duplicate",IF(INDEX(PlanCosts[Input check],MATCH($A42,PlanCosts[PlanID],0))&lt;&gt;"Valid",INDEX(PlanCosts[Input check],MATCH($A42,PlanCosts[PlanID],0)),IF(C42=0,"Budget cannot fund one share",IF(F42&lt;=0,"Target gain consumed by charges","Calculated draft"))))</f>
        <v>Calculated draft</v>
      </c>
      <c r="I42" s="159">
        <f>IF(NOT(ISNUMBER(D42)),"n.a.",D42/INDEX(PlanInputs[Cash budget],MATCH($A42,PlanInputs[PlanID],0)))</f>
        <v>0.99099999999999999</v>
      </c>
    </row>
    <row r="43" spans="1:9" ht="31.95" customHeight="1" x14ac:dyDescent="0.3">
      <c r="A43" s="136" t="s">
        <v>344</v>
      </c>
      <c r="B43" s="149" t="s">
        <v>50</v>
      </c>
      <c r="C43" s="155" t="str">
        <f>IF(COUNTIFS(PlanCosts[PlanID],$A43)&lt;&gt;1,"n.a.",IF(INDEX(PlanCosts[Input check],MATCH($A43,PlanCosts[PlanID],0))&lt;&gt;"Valid","n.a.",MAX(0,ROUNDDOWN(MIN(INDEX(PlanCosts[Risk after charges],MATCH($A43,PlanCosts[PlanID],0))/INDEX(PlanCosts[Loss / share],MATCH($A43,PlanCosts[PlanID],0)),INDEX(PlanCosts[Cash after entry fees],MATCH($A43,PlanCosts[PlanID],0))/INDEX(PlanInputs[Entry],MATCH($A43,PlanInputs[PlanID],0))),0))))</f>
        <v>n.a.</v>
      </c>
      <c r="D43" s="153" t="str">
        <f>IF(NOT(ISNUMBER(C43)),"n.a.",IF(C43=0,"n.a.",C43*INDEX(PlanInputs[Entry],MATCH($A43,PlanInputs[PlanID],0))+INDEX(PlanCosts[Entry charges],MATCH($A43,PlanCosts[PlanID],0))))</f>
        <v>n.a.</v>
      </c>
      <c r="E43" s="153" t="str">
        <f>IF(NOT(ISNUMBER(C43)),"n.a.",IF(C43=0,"n.a.",C43*INDEX(PlanCosts[Loss / share],MATCH($A43,PlanCosts[PlanID],0))+INDEX(PlanCosts[Entry charges],MATCH($A43,PlanCosts[PlanID],0))+INDEX(PlanCosts[Stop exit charges],MATCH($A43,PlanCosts[PlanID],0))))</f>
        <v>n.a.</v>
      </c>
      <c r="F43" s="153" t="str">
        <f>IF(NOT(ISNUMBER(C43)),"n.a.",IF(C43=0,"n.a.",C43*(INDEX(PlanInputs[Target],MATCH($A43,PlanInputs[PlanID],0))-INDEX(PlanInputs[Entry],MATCH($A43,PlanInputs[PlanID],0)))-INDEX(PlanCosts[Entry charges],MATCH($A43,PlanCosts[PlanID],0))-INDEX(PlanCosts[Target exit charges],MATCH($A43,PlanCosts[PlanID],0))))</f>
        <v>n.a.</v>
      </c>
      <c r="G43" s="156" t="str">
        <f>IF(NOT(ISNUMBER(E43)),"n.a.",IF(E43&lt;=0,"n.a.",F43/E43))</f>
        <v>n.a.</v>
      </c>
      <c r="H43" s="149" t="str">
        <f>IF(COUNTIFS(PlanCosts[PlanID],$A43)&lt;&gt;1,"Charges key missing or duplicate",IF(INDEX(PlanCosts[Input check],MATCH($A43,PlanCosts[PlanID],0))&lt;&gt;"Valid",INDEX(PlanCosts[Input check],MATCH($A43,PlanCosts[PlanID],0)),IF(C43=0,"Budget cannot fund one share",IF(F43&lt;=0,"Target gain consumed by charges","Calculated draft"))))</f>
        <v>Enter all prices, budgets and charges</v>
      </c>
      <c r="I43" s="159" t="str">
        <f>IF(NOT(ISNUMBER(D43)),"n.a.",D43/INDEX(PlanInputs[Cash budget],MATCH($A43,PlanInputs[PlanID],0)))</f>
        <v>n.a.</v>
      </c>
    </row>
    <row r="44" spans="1:9" ht="31.95" customHeight="1" x14ac:dyDescent="0.3">
      <c r="A44" s="136" t="s">
        <v>345</v>
      </c>
      <c r="B44" s="149" t="s">
        <v>53</v>
      </c>
      <c r="C44" s="155" t="str">
        <f>IF(COUNTIFS(PlanCosts[PlanID],$A44)&lt;&gt;1,"n.a.",IF(INDEX(PlanCosts[Input check],MATCH($A44,PlanCosts[PlanID],0))&lt;&gt;"Valid","n.a.",MAX(0,ROUNDDOWN(MIN(INDEX(PlanCosts[Risk after charges],MATCH($A44,PlanCosts[PlanID],0))/INDEX(PlanCosts[Loss / share],MATCH($A44,PlanCosts[PlanID],0)),INDEX(PlanCosts[Cash after entry fees],MATCH($A44,PlanCosts[PlanID],0))/INDEX(PlanInputs[Entry],MATCH($A44,PlanInputs[PlanID],0))),0))))</f>
        <v>n.a.</v>
      </c>
      <c r="D44" s="153" t="str">
        <f>IF(NOT(ISNUMBER(C44)),"n.a.",IF(C44=0,"n.a.",C44*INDEX(PlanInputs[Entry],MATCH($A44,PlanInputs[PlanID],0))+INDEX(PlanCosts[Entry charges],MATCH($A44,PlanCosts[PlanID],0))))</f>
        <v>n.a.</v>
      </c>
      <c r="E44" s="153" t="str">
        <f>IF(NOT(ISNUMBER(C44)),"n.a.",IF(C44=0,"n.a.",C44*INDEX(PlanCosts[Loss / share],MATCH($A44,PlanCosts[PlanID],0))+INDEX(PlanCosts[Entry charges],MATCH($A44,PlanCosts[PlanID],0))+INDEX(PlanCosts[Stop exit charges],MATCH($A44,PlanCosts[PlanID],0))))</f>
        <v>n.a.</v>
      </c>
      <c r="F44" s="153" t="str">
        <f>IF(NOT(ISNUMBER(C44)),"n.a.",IF(C44=0,"n.a.",C44*(INDEX(PlanInputs[Target],MATCH($A44,PlanInputs[PlanID],0))-INDEX(PlanInputs[Entry],MATCH($A44,PlanInputs[PlanID],0)))-INDEX(PlanCosts[Entry charges],MATCH($A44,PlanCosts[PlanID],0))-INDEX(PlanCosts[Target exit charges],MATCH($A44,PlanCosts[PlanID],0))))</f>
        <v>n.a.</v>
      </c>
      <c r="G44" s="156" t="str">
        <f>IF(NOT(ISNUMBER(E44)),"n.a.",IF(E44&lt;=0,"n.a.",F44/E44))</f>
        <v>n.a.</v>
      </c>
      <c r="H44" s="149" t="str">
        <f>IF(COUNTIFS(PlanCosts[PlanID],$A44)&lt;&gt;1,"Charges key missing or duplicate",IF(INDEX(PlanCosts[Input check],MATCH($A44,PlanCosts[PlanID],0))&lt;&gt;"Valid",INDEX(PlanCosts[Input check],MATCH($A44,PlanCosts[PlanID],0)),IF(C44=0,"Budget cannot fund one share",IF(F44&lt;=0,"Target gain consumed by charges","Calculated draft"))))</f>
        <v>Enter all prices, budgets and charges</v>
      </c>
      <c r="I44" s="159" t="str">
        <f>IF(NOT(ISNUMBER(D44)),"n.a.",D44/INDEX(PlanInputs[Cash budget],MATCH($A44,PlanInputs[PlanID],0)))</f>
        <v>n.a.</v>
      </c>
    </row>
    <row r="45" spans="1:9" ht="31.95" customHeight="1" x14ac:dyDescent="0.3">
      <c r="A45" s="136" t="s">
        <v>346</v>
      </c>
      <c r="B45" s="149" t="s">
        <v>56</v>
      </c>
      <c r="C45" s="155" t="str">
        <f>IF(COUNTIFS(PlanCosts[PlanID],$A45)&lt;&gt;1,"n.a.",IF(INDEX(PlanCosts[Input check],MATCH($A45,PlanCosts[PlanID],0))&lt;&gt;"Valid","n.a.",MAX(0,ROUNDDOWN(MIN(INDEX(PlanCosts[Risk after charges],MATCH($A45,PlanCosts[PlanID],0))/INDEX(PlanCosts[Loss / share],MATCH($A45,PlanCosts[PlanID],0)),INDEX(PlanCosts[Cash after entry fees],MATCH($A45,PlanCosts[PlanID],0))/INDEX(PlanInputs[Entry],MATCH($A45,PlanInputs[PlanID],0))),0))))</f>
        <v>n.a.</v>
      </c>
      <c r="D45" s="153" t="str">
        <f>IF(NOT(ISNUMBER(C45)),"n.a.",IF(C45=0,"n.a.",C45*INDEX(PlanInputs[Entry],MATCH($A45,PlanInputs[PlanID],0))+INDEX(PlanCosts[Entry charges],MATCH($A45,PlanCosts[PlanID],0))))</f>
        <v>n.a.</v>
      </c>
      <c r="E45" s="153" t="str">
        <f>IF(NOT(ISNUMBER(C45)),"n.a.",IF(C45=0,"n.a.",C45*INDEX(PlanCosts[Loss / share],MATCH($A45,PlanCosts[PlanID],0))+INDEX(PlanCosts[Entry charges],MATCH($A45,PlanCosts[PlanID],0))+INDEX(PlanCosts[Stop exit charges],MATCH($A45,PlanCosts[PlanID],0))))</f>
        <v>n.a.</v>
      </c>
      <c r="F45" s="153" t="str">
        <f>IF(NOT(ISNUMBER(C45)),"n.a.",IF(C45=0,"n.a.",C45*(INDEX(PlanInputs[Target],MATCH($A45,PlanInputs[PlanID],0))-INDEX(PlanInputs[Entry],MATCH($A45,PlanInputs[PlanID],0)))-INDEX(PlanCosts[Entry charges],MATCH($A45,PlanCosts[PlanID],0))-INDEX(PlanCosts[Target exit charges],MATCH($A45,PlanCosts[PlanID],0))))</f>
        <v>n.a.</v>
      </c>
      <c r="G45" s="156" t="str">
        <f>IF(NOT(ISNUMBER(E45)),"n.a.",IF(E45&lt;=0,"n.a.",F45/E45))</f>
        <v>n.a.</v>
      </c>
      <c r="H45" s="149" t="str">
        <f>IF(COUNTIFS(PlanCosts[PlanID],$A45)&lt;&gt;1,"Charges key missing or duplicate",IF(INDEX(PlanCosts[Input check],MATCH($A45,PlanCosts[PlanID],0))&lt;&gt;"Valid",INDEX(PlanCosts[Input check],MATCH($A45,PlanCosts[PlanID],0)),IF(C45=0,"Budget cannot fund one share",IF(F45&lt;=0,"Target gain consumed by charges","Calculated draft"))))</f>
        <v>Enter all prices, budgets and charges</v>
      </c>
      <c r="I45" s="159" t="str">
        <f>IF(NOT(ISNUMBER(D45)),"n.a.",D45/INDEX(PlanInputs[Cash budget],MATCH($A45,PlanInputs[PlanID],0)))</f>
        <v>n.a.</v>
      </c>
    </row>
    <row r="46" spans="1:9" ht="31.95" customHeight="1" x14ac:dyDescent="0.3">
      <c r="A46" s="136" t="s">
        <v>347</v>
      </c>
      <c r="B46" s="149" t="s">
        <v>59</v>
      </c>
      <c r="C46" s="155" t="str">
        <f>IF(COUNTIFS(PlanCosts[PlanID],$A46)&lt;&gt;1,"n.a.",IF(INDEX(PlanCosts[Input check],MATCH($A46,PlanCosts[PlanID],0))&lt;&gt;"Valid","n.a.",MAX(0,ROUNDDOWN(MIN(INDEX(PlanCosts[Risk after charges],MATCH($A46,PlanCosts[PlanID],0))/INDEX(PlanCosts[Loss / share],MATCH($A46,PlanCosts[PlanID],0)),INDEX(PlanCosts[Cash after entry fees],MATCH($A46,PlanCosts[PlanID],0))/INDEX(PlanInputs[Entry],MATCH($A46,PlanInputs[PlanID],0))),0))))</f>
        <v>n.a.</v>
      </c>
      <c r="D46" s="153" t="str">
        <f>IF(NOT(ISNUMBER(C46)),"n.a.",IF(C46=0,"n.a.",C46*INDEX(PlanInputs[Entry],MATCH($A46,PlanInputs[PlanID],0))+INDEX(PlanCosts[Entry charges],MATCH($A46,PlanCosts[PlanID],0))))</f>
        <v>n.a.</v>
      </c>
      <c r="E46" s="153" t="str">
        <f>IF(NOT(ISNUMBER(C46)),"n.a.",IF(C46=0,"n.a.",C46*INDEX(PlanCosts[Loss / share],MATCH($A46,PlanCosts[PlanID],0))+INDEX(PlanCosts[Entry charges],MATCH($A46,PlanCosts[PlanID],0))+INDEX(PlanCosts[Stop exit charges],MATCH($A46,PlanCosts[PlanID],0))))</f>
        <v>n.a.</v>
      </c>
      <c r="F46" s="153" t="str">
        <f>IF(NOT(ISNUMBER(C46)),"n.a.",IF(C46=0,"n.a.",C46*(INDEX(PlanInputs[Target],MATCH($A46,PlanInputs[PlanID],0))-INDEX(PlanInputs[Entry],MATCH($A46,PlanInputs[PlanID],0)))-INDEX(PlanCosts[Entry charges],MATCH($A46,PlanCosts[PlanID],0))-INDEX(PlanCosts[Target exit charges],MATCH($A46,PlanCosts[PlanID],0))))</f>
        <v>n.a.</v>
      </c>
      <c r="G46" s="156" t="str">
        <f>IF(NOT(ISNUMBER(E46)),"n.a.",IF(E46&lt;=0,"n.a.",F46/E46))</f>
        <v>n.a.</v>
      </c>
      <c r="H46" s="149" t="str">
        <f>IF(COUNTIFS(PlanCosts[PlanID],$A46)&lt;&gt;1,"Charges key missing or duplicate",IF(INDEX(PlanCosts[Input check],MATCH($A46,PlanCosts[PlanID],0))&lt;&gt;"Valid",INDEX(PlanCosts[Input check],MATCH($A46,PlanCosts[PlanID],0)),IF(C46=0,"Budget cannot fund one share",IF(F46&lt;=0,"Target gain consumed by charges","Calculated draft"))))</f>
        <v>Enter all prices, budgets and charges</v>
      </c>
      <c r="I46" s="159" t="str">
        <f>IF(NOT(ISNUMBER(D46)),"n.a.",D46/INDEX(PlanInputs[Cash budget],MATCH($A46,PlanInputs[PlanID],0)))</f>
        <v>n.a.</v>
      </c>
    </row>
    <row r="47" spans="1:9" ht="31.95" customHeight="1" x14ac:dyDescent="0.3">
      <c r="A47" s="136" t="s">
        <v>348</v>
      </c>
      <c r="B47" s="150" t="s">
        <v>62</v>
      </c>
      <c r="C47" s="157" t="str">
        <f>IF(COUNTIFS(PlanCosts[PlanID],$A47)&lt;&gt;1,"n.a.",IF(INDEX(PlanCosts[Input check],MATCH($A47,PlanCosts[PlanID],0))&lt;&gt;"Valid","n.a.",MAX(0,ROUNDDOWN(MIN(INDEX(PlanCosts[Risk after charges],MATCH($A47,PlanCosts[PlanID],0))/INDEX(PlanCosts[Loss / share],MATCH($A47,PlanCosts[PlanID],0)),INDEX(PlanCosts[Cash after entry fees],MATCH($A47,PlanCosts[PlanID],0))/INDEX(PlanInputs[Entry],MATCH($A47,PlanInputs[PlanID],0))),0))))</f>
        <v>n.a.</v>
      </c>
      <c r="D47" s="154" t="str">
        <f>IF(NOT(ISNUMBER(C47)),"n.a.",IF(C47=0,"n.a.",C47*INDEX(PlanInputs[Entry],MATCH($A47,PlanInputs[PlanID],0))+INDEX(PlanCosts[Entry charges],MATCH($A47,PlanCosts[PlanID],0))))</f>
        <v>n.a.</v>
      </c>
      <c r="E47" s="154" t="str">
        <f>IF(NOT(ISNUMBER(C47)),"n.a.",IF(C47=0,"n.a.",C47*INDEX(PlanCosts[Loss / share],MATCH($A47,PlanCosts[PlanID],0))+INDEX(PlanCosts[Entry charges],MATCH($A47,PlanCosts[PlanID],0))+INDEX(PlanCosts[Stop exit charges],MATCH($A47,PlanCosts[PlanID],0))))</f>
        <v>n.a.</v>
      </c>
      <c r="F47" s="154" t="str">
        <f>IF(NOT(ISNUMBER(C47)),"n.a.",IF(C47=0,"n.a.",C47*(INDEX(PlanInputs[Target],MATCH($A47,PlanInputs[PlanID],0))-INDEX(PlanInputs[Entry],MATCH($A47,PlanInputs[PlanID],0)))-INDEX(PlanCosts[Entry charges],MATCH($A47,PlanCosts[PlanID],0))-INDEX(PlanCosts[Target exit charges],MATCH($A47,PlanCosts[PlanID],0))))</f>
        <v>n.a.</v>
      </c>
      <c r="G47" s="158" t="str">
        <f>IF(NOT(ISNUMBER(E47)),"n.a.",IF(E47&lt;=0,"n.a.",F47/E47))</f>
        <v>n.a.</v>
      </c>
      <c r="H47" s="150" t="str">
        <f>IF(COUNTIFS(PlanCosts[PlanID],$A47)&lt;&gt;1,"Charges key missing or duplicate",IF(INDEX(PlanCosts[Input check],MATCH($A47,PlanCosts[PlanID],0))&lt;&gt;"Valid",INDEX(PlanCosts[Input check],MATCH($A47,PlanCosts[PlanID],0)),IF(C47=0,"Budget cannot fund one share",IF(F47&lt;=0,"Target gain consumed by charges","Calculated draft"))))</f>
        <v>Enter all prices, budgets and charges</v>
      </c>
      <c r="I47" s="160" t="str">
        <f>IF(NOT(ISNUMBER(D47)),"n.a.",D47/INDEX(PlanInputs[Cash budget],MATCH($A47,PlanInputs[PlanID],0)))</f>
        <v>n.a.</v>
      </c>
    </row>
    <row r="48" spans="1:9" ht="22.95" customHeight="1" x14ac:dyDescent="0.3">
      <c r="A48" s="136"/>
      <c r="B48" s="136"/>
      <c r="C48" s="136"/>
      <c r="D48" s="136"/>
      <c r="E48" s="136"/>
      <c r="F48" s="136"/>
      <c r="G48" s="136"/>
      <c r="H48" s="136"/>
      <c r="I48" s="136"/>
    </row>
    <row r="49" spans="1:9" ht="22.95" customHeight="1" x14ac:dyDescent="0.3">
      <c r="A49" s="136"/>
      <c r="B49" s="184" t="s">
        <v>367</v>
      </c>
      <c r="C49" s="184"/>
      <c r="D49" s="184"/>
      <c r="E49" s="184"/>
      <c r="F49" s="184"/>
      <c r="G49" s="184"/>
      <c r="H49" s="184"/>
      <c r="I49" s="184"/>
    </row>
    <row r="50" spans="1:9" ht="22.95" customHeight="1" x14ac:dyDescent="0.3">
      <c r="A50" s="136"/>
      <c r="B50" s="184" t="s">
        <v>368</v>
      </c>
      <c r="C50" s="184"/>
      <c r="D50" s="184"/>
      <c r="E50" s="184"/>
      <c r="F50" s="184"/>
      <c r="G50" s="184"/>
      <c r="H50" s="184"/>
      <c r="I50" s="184"/>
    </row>
    <row r="51" spans="1:9" ht="22.95" customHeight="1" x14ac:dyDescent="0.3">
      <c r="A51" s="136"/>
      <c r="B51" s="136"/>
      <c r="C51" s="136"/>
      <c r="D51" s="136"/>
      <c r="E51" s="136"/>
      <c r="F51" s="136"/>
      <c r="G51" s="136"/>
      <c r="H51" s="136"/>
      <c r="I51" s="136"/>
    </row>
  </sheetData>
  <mergeCells count="17">
    <mergeCell ref="B37:I37"/>
    <mergeCell ref="B38:I38"/>
    <mergeCell ref="B49:I49"/>
    <mergeCell ref="B50:I50"/>
    <mergeCell ref="B14:I14"/>
    <mergeCell ref="B15:I15"/>
    <mergeCell ref="B6:I6"/>
    <mergeCell ref="B17:I17"/>
    <mergeCell ref="B26:I26"/>
    <mergeCell ref="B27:I27"/>
    <mergeCell ref="D5:G5"/>
    <mergeCell ref="B9:D9"/>
    <mergeCell ref="E9:G9"/>
    <mergeCell ref="H9:I9"/>
    <mergeCell ref="B12:D12"/>
    <mergeCell ref="E12:G12"/>
    <mergeCell ref="H12:I12"/>
  </mergeCells>
  <conditionalFormatting sqref="B14:I14">
    <cfRule type="expression" dxfId="47" priority="1" stopIfTrue="1">
      <formula>$B$14&lt;&gt;"Calculated draft"</formula>
    </cfRule>
  </conditionalFormatting>
  <conditionalFormatting sqref="H42:H47">
    <cfRule type="expression" dxfId="46" priority="2" stopIfTrue="1">
      <formula>$H42&lt;&gt;"Calculated draft"</formula>
    </cfRule>
  </conditionalFormatting>
  <dataValidations count="3">
    <dataValidation type="list" allowBlank="1" showInputMessage="1" showErrorMessage="1" error="Choose one of the six demo stocks." sqref="D5" xr:uid="{533BE03F-5534-4669-88D0-BB76955AFD32}">
      <formula1>PlanStockNames</formula1>
    </dataValidation>
    <dataValidation type="decimal" operator="greaterThanOrEqual" allowBlank="1" showInputMessage="1" showErrorMessage="1" error="Enter a number of zero or more. Prices and budgets must be positive." sqref="C20:G25 C31:E36" xr:uid="{3C5F5A5C-A333-44D5-8EA2-FBF7A14949E4}">
      <formula1>0</formula1>
    </dataValidation>
    <dataValidation type="date" allowBlank="1" showInputMessage="1" showErrorMessage="1" sqref="I20:I25" xr:uid="{A195F6BF-8146-4FC9-953D-CFE59119A08B}">
      <formula1>1</formula1>
      <formula2>2958465</formula2>
    </dataValidation>
  </dataValidations>
  <hyperlinks>
    <hyperlink ref="B3" location="'Watchlist'!B2" tooltip="Watchlist" display="Watchlist" xr:uid="{44768B1A-E371-452A-8B4C-73A983951AEC}"/>
    <hyperlink ref="D3" location="'Holdings'!B2" tooltip="Holdings" display="Holdings" xr:uid="{96C24B39-7C17-44F5-9ACF-9202F5CAB3A7}"/>
    <hyperlink ref="F3" location="'Transactions'!B2" tooltip="Transactions" display="Transactions" xr:uid="{4FF2EA0F-E791-46BD-99CA-AFF9E9022E05}"/>
    <hyperlink ref="H3" location="'Help'!B2" tooltip="Help" display="Help" xr:uid="{B425E642-9650-4B37-AC72-64E07C3CAD79}"/>
    <hyperlink ref="I3" location="'Stock view'!B2" tooltip="Stock view" display="Stock view" xr:uid="{AA596638-F9A1-4D06-8389-A2C5A6E6FDFD}"/>
  </hyperlinks>
  <pageMargins left="0.27777777777777779" right="0.27777777777777779" top="0.27777777777777779" bottom="0.27777777777777779" header="0.3" footer="0.3"/>
  <pageSetup paperSize="8" fitToHeight="0" orientation="landscape" r:id="rId1"/>
  <rowBreaks count="1" manualBreakCount="1">
    <brk id="28" min="1" max="8" man="1"/>
  </rowBreaks>
  <tableParts count="3">
    <tablePart r:id="rId2"/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499C-218C-45B9-A527-0351356197D9}">
  <sheetPr>
    <tabColor rgb="FF6CCAD9"/>
    <pageSetUpPr fitToPage="1"/>
  </sheetPr>
  <dimension ref="A1:J78"/>
  <sheetViews>
    <sheetView showGridLines="0" topLeftCell="B1" zoomScale="75" zoomScaleNormal="75" workbookViewId="0">
      <pane ySplit="12" topLeftCell="A13" activePane="bottomLeft" state="frozenSplit"/>
      <selection activeCell="B1" sqref="B1"/>
      <selection pane="bottomLeft" activeCell="B2" sqref="B2"/>
    </sheetView>
  </sheetViews>
  <sheetFormatPr defaultRowHeight="14.4" x14ac:dyDescent="0.3"/>
  <cols>
    <col min="1" max="1" width="3" hidden="1" customWidth="1"/>
    <col min="2" max="2" width="23" customWidth="1"/>
    <col min="3" max="3" width="21" customWidth="1"/>
    <col min="4" max="4" width="69" customWidth="1"/>
    <col min="5" max="5" width="23" customWidth="1"/>
    <col min="6" max="6" width="30" customWidth="1"/>
    <col min="7" max="7" width="11" customWidth="1"/>
    <col min="8" max="8" width="3" customWidth="1"/>
    <col min="9" max="10" width="15" hidden="1" customWidth="1"/>
  </cols>
  <sheetData>
    <row r="1" spans="1:10" ht="22.95" customHeight="1" x14ac:dyDescent="0.3">
      <c r="A1" s="136"/>
      <c r="B1" s="137"/>
      <c r="C1" s="137"/>
      <c r="D1" s="137"/>
      <c r="E1" s="137"/>
      <c r="F1" s="137"/>
      <c r="G1" s="137"/>
      <c r="H1" s="136"/>
      <c r="I1" s="136"/>
      <c r="J1" s="136"/>
    </row>
    <row r="2" spans="1:10" ht="22.95" customHeight="1" x14ac:dyDescent="0.3">
      <c r="A2" s="136"/>
      <c r="B2" s="194" t="s">
        <v>398</v>
      </c>
      <c r="C2" s="137"/>
      <c r="D2" s="137"/>
      <c r="E2" s="137"/>
      <c r="F2" s="137"/>
      <c r="G2" s="137"/>
      <c r="H2" s="136"/>
      <c r="I2" s="136"/>
      <c r="J2" s="136" t="str">
        <f>C7&amp;"||"&amp;_xlfn.TEXTJOIN("~",FALSE,NewsSources[SourceID])&amp;"||"&amp;_xlfn.TEXTJOIN("~",FALSE,NewsSources[Publisher])&amp;"||"&amp;_xlfn.TEXTJOIN("~",FALSE,NewsSources[Feed URL])&amp;"||"&amp;_xlfn.TEXTJOIN("~",FALSE,NewsSources[Enabled])&amp;"||"&amp;_xlfn.TEXTJOIN("~",FALSE,NewsRules[Industry])&amp;"||"&amp;_xlfn.TEXTJOIN("~",FALSE,NewsRules[Keyword])</f>
        <v>Demo||MINT_INDUSTRY~MINT_TECH~MINT_MARKETS~~~||Mint~Mint~Mint~~~||https://www.livemint.com/rss/industry~https://www.livemint.com/rss/technology~https://www.livemint.com/rss/markets~~~||Yes~Yes~Yes~No~No~No||Banking/Financials~Banking/Financials~Banking/Financials~Banking/Financials~Technology~Technology~Technology~Technology~Healthcare~Healthcare~Healthcare~Auto~Auto~Auto~Energy~Energy~Energy~Consumer~Consumer~Consumer~Industrials~Industrials~Markets~Markets~Markets||bank~banks~banking~insurance~technology~software~AI~semiconductor~pharma~healthcare~hospital~auto~automaker~electric vehicle~oil~gas~renewable~retail~consumer~FMCG~steel~manufacturing~Nifty~Sensex~ETF</v>
      </c>
    </row>
    <row r="3" spans="1:10" ht="22.95" customHeight="1" x14ac:dyDescent="0.3">
      <c r="A3" s="136"/>
      <c r="B3" s="161" t="s">
        <v>320</v>
      </c>
      <c r="C3" s="161" t="s">
        <v>369</v>
      </c>
      <c r="D3" s="161" t="s">
        <v>323</v>
      </c>
      <c r="E3" s="161" t="s">
        <v>538</v>
      </c>
      <c r="F3" s="161" t="s">
        <v>319</v>
      </c>
      <c r="G3" s="137"/>
      <c r="H3" s="136"/>
      <c r="I3" s="136"/>
      <c r="J3" s="136" t="str">
        <f>IFERROR(INDEX(NewsCache[SettingsKey],1),"")</f>
        <v>Demo||MINT_INDUSTRY~MINT_TECH~MINT_MARKETS~~~||Mint~Mint~Mint~~~||https://www.livemint.com/rss/industry~https://www.livemint.com/rss/technology~https://www.livemint.com/rss/markets~~~||Yes~Yes~Yes~No~No~No||Banking/Financials~Banking/Financials~Banking/Financials~Banking/Financials~Technology~Technology~Technology~Technology~Healthcare~Healthcare~Healthcare~Auto~Auto~Auto~Energy~Energy~Energy~Consumer~Consumer~Consumer~Industrials~Industrials~Markets~Markets~Markets||bank~banks~banking~insurance~technology~software~AI~semiconductor~pharma~healthcare~hospital~auto~automaker~electric vehicle~oil~gas~renewable~retail~consumer~FMCG~steel~manufacturing~Nifty~Sensex~ETF</v>
      </c>
    </row>
    <row r="4" spans="1:10" ht="22.95" customHeight="1" x14ac:dyDescent="0.3">
      <c r="A4" s="136"/>
      <c r="B4" s="136"/>
      <c r="C4" s="136"/>
      <c r="D4" s="136"/>
      <c r="E4" s="136"/>
      <c r="F4" s="136"/>
      <c r="G4" s="136"/>
      <c r="H4" s="136"/>
      <c r="I4" s="136"/>
      <c r="J4" s="136" t="str">
        <f>IFERROR(INDEX(NewsCache[Mode],1),"")</f>
        <v>Demo</v>
      </c>
    </row>
    <row r="5" spans="1:10" ht="30" customHeight="1" x14ac:dyDescent="0.3">
      <c r="A5" s="136"/>
      <c r="B5" s="136" t="s">
        <v>399</v>
      </c>
      <c r="C5" s="196" t="s">
        <v>400</v>
      </c>
      <c r="D5" s="196"/>
      <c r="E5" s="136" t="s">
        <v>401</v>
      </c>
      <c r="F5" s="196" t="s">
        <v>402</v>
      </c>
      <c r="G5" s="196"/>
      <c r="H5" s="136"/>
      <c r="I5" s="136"/>
      <c r="J5" s="136">
        <f>COUNT(NewsData!O2:O2001)</f>
        <v>10</v>
      </c>
    </row>
    <row r="6" spans="1:10" ht="22.95" customHeight="1" x14ac:dyDescent="0.3">
      <c r="A6" s="136"/>
      <c r="B6" s="136"/>
      <c r="C6" s="136"/>
      <c r="D6" s="136"/>
      <c r="E6" s="136"/>
      <c r="F6" s="136"/>
      <c r="G6" s="136"/>
      <c r="H6" s="136"/>
      <c r="I6" s="136"/>
      <c r="J6" s="136">
        <f>COUNTIFS(NewsCache[RowType],"Feed",NewsCache[State],"Failed:*")+COUNTIFS(NewsCache[RowType],"Feed",NewsCache[State],"No valid items")</f>
        <v>0</v>
      </c>
    </row>
    <row r="7" spans="1:10" ht="30" customHeight="1" x14ac:dyDescent="0.3">
      <c r="A7" s="136"/>
      <c r="B7" s="136" t="s">
        <v>403</v>
      </c>
      <c r="C7" s="164" t="s">
        <v>404</v>
      </c>
      <c r="D7" s="136" t="s">
        <v>405</v>
      </c>
      <c r="E7" s="136" t="s">
        <v>406</v>
      </c>
      <c r="F7" s="164">
        <v>1</v>
      </c>
      <c r="G7" s="136"/>
      <c r="H7" s="136"/>
      <c r="I7" s="136"/>
      <c r="J7" s="136">
        <f>COUNTIFS(NewsCache[RowType],"Feed")</f>
        <v>3</v>
      </c>
    </row>
    <row r="8" spans="1:10" ht="22.95" customHeight="1" x14ac:dyDescent="0.3">
      <c r="A8" s="136"/>
      <c r="B8" s="136"/>
      <c r="C8" s="136"/>
      <c r="D8" s="136"/>
      <c r="E8" s="136"/>
      <c r="F8" s="136"/>
      <c r="G8" s="136"/>
      <c r="H8" s="136"/>
      <c r="I8" s="136"/>
      <c r="J8" s="136">
        <f>MAX(NewsCache[RefreshedAt])</f>
        <v>46286.964552048608</v>
      </c>
    </row>
    <row r="9" spans="1:10" ht="30" customHeight="1" x14ac:dyDescent="0.3">
      <c r="A9" s="136"/>
      <c r="B9" s="179" t="str">
        <f ca="1">IF(C7="Demo","DEMO — Fictional headlines. ","LIVE RSS — Personal reading. ")&amp;IF(NOT(J11),"Choose a valid industry, publisher and mode.",IF(J2&lt;&gt;J3,"Settings changed. Refresh All to apply them.",IF(NOT(J12),"Cache exceeds 2,000 rows; extend and validate this view.",IF(OR(NOW()-J8&gt;45/1440,NOW()&lt;J8-1/1440),"Refresh overdue or clock changed. Refresh All.",IF(J6&gt;0,J6&amp;" feed(s) need attention. Check source status below.",IF(J7=0,"No sources enabled.",IF(NOT(J10),"Choose page 1 to "&amp;J9&amp;".",IF(J5=0,"No matching headlines in the current feeds.","Showing newest matches. Page "&amp;F7&amp;" of "&amp;J9&amp;"."))))))))</f>
        <v>DEMO — Fictional headlines. Showing newest matches. Page 1 of 1.</v>
      </c>
      <c r="C9" s="179"/>
      <c r="D9" s="179"/>
      <c r="E9" s="179"/>
      <c r="F9" s="179"/>
      <c r="G9" s="179"/>
      <c r="H9" s="136"/>
      <c r="I9" s="136"/>
      <c r="J9" s="136">
        <f>MAX(1,ROUNDUP(J5/15,0))</f>
        <v>1</v>
      </c>
    </row>
    <row r="10" spans="1:10" ht="30" customHeight="1" x14ac:dyDescent="0.3">
      <c r="A10" s="136"/>
      <c r="B10" s="179" t="str">
        <f>J5&amp;" matching headlines • "&amp;J7&amp;" enabled feeds • "&amp;SUM(NewsCache[Rejected])&amp;" invalid items skipped • Refreshed "&amp;TEXT(J8,"dd mmm yyyy hh:mm")&amp;" (computer time)."</f>
        <v>10 matching headlines • 3 enabled feeds • 0 invalid items skipped • Refreshed 21 Sep 2026 23:08 (computer time).</v>
      </c>
      <c r="C10" s="179"/>
      <c r="D10" s="179"/>
      <c r="E10" s="179"/>
      <c r="F10" s="179"/>
      <c r="G10" s="179"/>
      <c r="H10" s="136"/>
      <c r="I10" s="136"/>
      <c r="J10" s="136" t="b">
        <f>IF(ISNUMBER(F7),AND(F7=INT(F7),F7&gt;=1,F7&lt;=J9),FALSE)</f>
        <v>1</v>
      </c>
    </row>
    <row r="11" spans="1:10" ht="22.95" customHeight="1" x14ac:dyDescent="0.3">
      <c r="A11" s="136"/>
      <c r="B11" s="136"/>
      <c r="C11" s="136"/>
      <c r="D11" s="136"/>
      <c r="E11" s="136"/>
      <c r="F11" s="136"/>
      <c r="G11" s="136"/>
      <c r="H11" s="136"/>
      <c r="I11" s="136"/>
      <c r="J11" s="136" t="b">
        <f>AND(COUNTIF(NewsIndustryChoices,C5)=1,COUNTIF(NewsPublisherChoices,F5)&gt;=1,F5&lt;&gt;"",OR(C7="Demo",C7="Live RSS"))</f>
        <v>1</v>
      </c>
    </row>
    <row r="12" spans="1:10" ht="30" customHeight="1" x14ac:dyDescent="0.3">
      <c r="A12" s="136"/>
      <c r="B12" s="141" t="s">
        <v>407</v>
      </c>
      <c r="C12" s="141" t="s">
        <v>401</v>
      </c>
      <c r="D12" s="141" t="s">
        <v>408</v>
      </c>
      <c r="E12" s="141" t="s">
        <v>409</v>
      </c>
      <c r="F12" s="141" t="s">
        <v>410</v>
      </c>
      <c r="G12" s="141" t="s">
        <v>411</v>
      </c>
      <c r="H12" s="136"/>
      <c r="I12" s="136"/>
      <c r="J12" s="136" t="b">
        <f>ROWS(NewsCache[RowType])&lt;=2000</f>
        <v>1</v>
      </c>
    </row>
    <row r="13" spans="1:10" ht="49.05" customHeight="1" x14ac:dyDescent="0.3">
      <c r="A13" s="136"/>
      <c r="B13" s="208">
        <f>IF($I13="","",INDEX(NewsCache[PublishedAt],$I13))</f>
        <v>46283.638888888891</v>
      </c>
      <c r="C13" s="210" t="str">
        <f>IF($I13="","",INDEX(NewsCache[Publisher],$I13))</f>
        <v>Mint</v>
      </c>
      <c r="D13" s="203" t="str">
        <f>IF($I13="","",INDEX(NewsCache[Headline],$I13))</f>
        <v>DEMO: Banks review deposit growth before quarterly results</v>
      </c>
      <c r="E13" s="206" t="str">
        <f>IF($I13="","",SUBSTITUTE(MID(INDEX(NewsCache[Industries],$I13),2,LEN(INDEX(NewsCache[Industries],$I13))-2),"|",", "))</f>
        <v>Banking/Financials</v>
      </c>
      <c r="F13" s="206" t="str">
        <f>IF($I13="","",INDEX(NewsCache[MatchReason],$I13))</f>
        <v>Title: banks</v>
      </c>
      <c r="G13" s="204" t="str">
        <f>IF($I13="","",IF($C$7="Demo","Demo",IF(LEN(INDEX(NewsCache[URL],$I13))&gt;255,"Long URL",HYPERLINK(INDEX(NewsCache[URL],$I13),"Read"))))</f>
        <v>Demo</v>
      </c>
      <c r="H13" s="136"/>
      <c r="I13" s="136">
        <f>IF(AND($J$10,$J$11,$J$12),IFERROR(SMALL(NewsData!$O$2:$O$2001,($F$7-1)*15+ROW()-12),""),"")</f>
        <v>5</v>
      </c>
      <c r="J13" s="136"/>
    </row>
    <row r="14" spans="1:10" ht="49.05" customHeight="1" x14ac:dyDescent="0.3">
      <c r="A14" s="136"/>
      <c r="B14" s="209">
        <f>IF($I14="","",INDEX(NewsCache[PublishedAt],$I14))</f>
        <v>46283.618055555555</v>
      </c>
      <c r="C14" s="211" t="str">
        <f>IF($I14="","",INDEX(NewsCache[Publisher],$I14))</f>
        <v>Mint</v>
      </c>
      <c r="D14" s="149" t="str">
        <f>IF($I14="","",INDEX(NewsCache[Headline],$I14))</f>
        <v>DEMO: Software firm schedules results and product briefing</v>
      </c>
      <c r="E14" s="207" t="str">
        <f>IF($I14="","",SUBSTITUTE(MID(INDEX(NewsCache[Industries],$I14),2,LEN(INDEX(NewsCache[Industries],$I14))-2),"|",", "))</f>
        <v>Technology</v>
      </c>
      <c r="F14" s="207" t="str">
        <f>IF($I14="","",INDEX(NewsCache[MatchReason],$I14))</f>
        <v>Title: software</v>
      </c>
      <c r="G14" s="205" t="str">
        <f>IF($I14="","",IF($C$7="Demo","Demo",IF(LEN(INDEX(NewsCache[URL],$I14))&gt;255,"Long URL",HYPERLINK(INDEX(NewsCache[URL],$I14),"Read"))))</f>
        <v>Demo</v>
      </c>
      <c r="H14" s="136"/>
      <c r="I14" s="136">
        <f>IF(AND($J$10,$J$11,$J$12),IFERROR(SMALL(NewsData!$O$2:$O$2001,($F$7-1)*15+ROW()-12),""),"")</f>
        <v>6</v>
      </c>
      <c r="J14" s="136"/>
    </row>
    <row r="15" spans="1:10" ht="49.05" customHeight="1" x14ac:dyDescent="0.3">
      <c r="A15" s="136"/>
      <c r="B15" s="208">
        <f>IF($I15="","",INDEX(NewsCache[PublishedAt],$I15))</f>
        <v>46283.583333333336</v>
      </c>
      <c r="C15" s="210" t="str">
        <f>IF($I15="","",INDEX(NewsCache[Publisher],$I15))</f>
        <v>Mint</v>
      </c>
      <c r="D15" s="203" t="str">
        <f>IF($I15="","",INDEX(NewsCache[Headline],$I15))</f>
        <v>DEMO: Pharma manufacturer announces plant review</v>
      </c>
      <c r="E15" s="206" t="str">
        <f>IF($I15="","",SUBSTITUTE(MID(INDEX(NewsCache[Industries],$I15),2,LEN(INDEX(NewsCache[Industries],$I15))-2),"|",", "))</f>
        <v>Healthcare</v>
      </c>
      <c r="F15" s="206" t="str">
        <f>IF($I15="","",INDEX(NewsCache[MatchReason],$I15))</f>
        <v>Title: pharma</v>
      </c>
      <c r="G15" s="204" t="str">
        <f>IF($I15="","",IF($C$7="Demo","Demo",IF(LEN(INDEX(NewsCache[URL],$I15))&gt;255,"Long URL",HYPERLINK(INDEX(NewsCache[URL],$I15),"Read"))))</f>
        <v>Demo</v>
      </c>
      <c r="H15" s="136"/>
      <c r="I15" s="136">
        <f>IF(AND($J$10,$J$11,$J$12),IFERROR(SMALL(NewsData!$O$2:$O$2001,($F$7-1)*15+ROW()-12),""),"")</f>
        <v>7</v>
      </c>
      <c r="J15" s="136"/>
    </row>
    <row r="16" spans="1:10" ht="49.05" customHeight="1" x14ac:dyDescent="0.3">
      <c r="A16" s="136"/>
      <c r="B16" s="209">
        <f>IF($I16="","",INDEX(NewsCache[PublishedAt],$I16))</f>
        <v>46283.5625</v>
      </c>
      <c r="C16" s="211" t="str">
        <f>IF($I16="","",INDEX(NewsCache[Publisher],$I16))</f>
        <v>Mint</v>
      </c>
      <c r="D16" s="149" t="str">
        <f>IF($I16="","",INDEX(NewsCache[Headline],$I16))</f>
        <v>DEMO: Steel producers discuss manufacturing demand</v>
      </c>
      <c r="E16" s="207" t="str">
        <f>IF($I16="","",SUBSTITUTE(MID(INDEX(NewsCache[Industries],$I16),2,LEN(INDEX(NewsCache[Industries],$I16))-2),"|",", "))</f>
        <v>Industrials</v>
      </c>
      <c r="F16" s="207" t="str">
        <f>IF($I16="","",INDEX(NewsCache[MatchReason],$I16))</f>
        <v>Title: steel, manufacturing</v>
      </c>
      <c r="G16" s="205" t="str">
        <f>IF($I16="","",IF($C$7="Demo","Demo",IF(LEN(INDEX(NewsCache[URL],$I16))&gt;255,"Long URL",HYPERLINK(INDEX(NewsCache[URL],$I16),"Read"))))</f>
        <v>Demo</v>
      </c>
      <c r="H16" s="136"/>
      <c r="I16" s="136">
        <f>IF(AND($J$10,$J$11,$J$12),IFERROR(SMALL(NewsData!$O$2:$O$2001,($F$7-1)*15+ROW()-12),""),"")</f>
        <v>8</v>
      </c>
      <c r="J16" s="136"/>
    </row>
    <row r="17" spans="1:10" ht="49.05" customHeight="1" x14ac:dyDescent="0.3">
      <c r="A17" s="136"/>
      <c r="B17" s="208">
        <f>IF($I17="","",INDEX(NewsCache[PublishedAt],$I17))</f>
        <v>46283.541666666664</v>
      </c>
      <c r="C17" s="210" t="str">
        <f>IF($I17="","",INDEX(NewsCache[Publisher],$I17))</f>
        <v>Mint</v>
      </c>
      <c r="D17" s="203" t="str">
        <f>IF($I17="","",INDEX(NewsCache[Headline],$I17))</f>
        <v>DEMO: ETF volumes rise during the market session</v>
      </c>
      <c r="E17" s="206" t="str">
        <f>IF($I17="","",SUBSTITUTE(MID(INDEX(NewsCache[Industries],$I17),2,LEN(INDEX(NewsCache[Industries],$I17))-2),"|",", "))</f>
        <v>Markets</v>
      </c>
      <c r="F17" s="206" t="str">
        <f>IF($I17="","",INDEX(NewsCache[MatchReason],$I17))</f>
        <v>Title: ETF</v>
      </c>
      <c r="G17" s="204" t="str">
        <f>IF($I17="","",IF($C$7="Demo","Demo",IF(LEN(INDEX(NewsCache[URL],$I17))&gt;255,"Long URL",HYPERLINK(INDEX(NewsCache[URL],$I17),"Read"))))</f>
        <v>Demo</v>
      </c>
      <c r="H17" s="136"/>
      <c r="I17" s="136">
        <f>IF(AND($J$10,$J$11,$J$12),IFERROR(SMALL(NewsData!$O$2:$O$2001,($F$7-1)*15+ROW()-12),""),"")</f>
        <v>9</v>
      </c>
      <c r="J17" s="136"/>
    </row>
    <row r="18" spans="1:10" ht="49.05" customHeight="1" x14ac:dyDescent="0.3">
      <c r="A18" s="136"/>
      <c r="B18" s="209">
        <f>IF($I18="","",INDEX(NewsCache[PublishedAt],$I18))</f>
        <v>46283.520833333336</v>
      </c>
      <c r="C18" s="211" t="str">
        <f>IF($I18="","",INDEX(NewsCache[Publisher],$I18))</f>
        <v>Mint</v>
      </c>
      <c r="D18" s="149" t="str">
        <f>IF($I18="","",INDEX(NewsCache[Headline],$I18))</f>
        <v>DEMO: Automaker outlines electric vehicle launch calendar</v>
      </c>
      <c r="E18" s="207" t="str">
        <f>IF($I18="","",SUBSTITUTE(MID(INDEX(NewsCache[Industries],$I18),2,LEN(INDEX(NewsCache[Industries],$I18))-2),"|",", "))</f>
        <v>Auto</v>
      </c>
      <c r="F18" s="207" t="str">
        <f>IF($I18="","",INDEX(NewsCache[MatchReason],$I18))</f>
        <v>Title: automaker, electric vehicle</v>
      </c>
      <c r="G18" s="205" t="str">
        <f>IF($I18="","",IF($C$7="Demo","Demo",IF(LEN(INDEX(NewsCache[URL],$I18))&gt;255,"Long URL",HYPERLINK(INDEX(NewsCache[URL],$I18),"Read"))))</f>
        <v>Demo</v>
      </c>
      <c r="H18" s="136"/>
      <c r="I18" s="136">
        <f>IF(AND($J$10,$J$11,$J$12),IFERROR(SMALL(NewsData!$O$2:$O$2001,($F$7-1)*15+ROW()-12),""),"")</f>
        <v>10</v>
      </c>
      <c r="J18" s="136"/>
    </row>
    <row r="19" spans="1:10" ht="49.05" customHeight="1" x14ac:dyDescent="0.3">
      <c r="A19" s="136"/>
      <c r="B19" s="208">
        <f>IF($I19="","",INDEX(NewsCache[PublishedAt],$I19))</f>
        <v>46283.5</v>
      </c>
      <c r="C19" s="210" t="str">
        <f>IF($I19="","",INDEX(NewsCache[Publisher],$I19))</f>
        <v>Mint</v>
      </c>
      <c r="D19" s="203" t="str">
        <f>IF($I19="","",INDEX(NewsCache[Headline],$I19))</f>
        <v>DEMO: Oil suppliers review renewable investment plans</v>
      </c>
      <c r="E19" s="206" t="str">
        <f>IF($I19="","",SUBSTITUTE(MID(INDEX(NewsCache[Industries],$I19),2,LEN(INDEX(NewsCache[Industries],$I19))-2),"|",", "))</f>
        <v>Energy</v>
      </c>
      <c r="F19" s="206" t="str">
        <f>IF($I19="","",INDEX(NewsCache[MatchReason],$I19))</f>
        <v>Title: oil, renewable</v>
      </c>
      <c r="G19" s="204" t="str">
        <f>IF($I19="","",IF($C$7="Demo","Demo",IF(LEN(INDEX(NewsCache[URL],$I19))&gt;255,"Long URL",HYPERLINK(INDEX(NewsCache[URL],$I19),"Read"))))</f>
        <v>Demo</v>
      </c>
      <c r="H19" s="136"/>
      <c r="I19" s="136">
        <f>IF(AND($J$10,$J$11,$J$12),IFERROR(SMALL(NewsData!$O$2:$O$2001,($F$7-1)*15+ROW()-12),""),"")</f>
        <v>11</v>
      </c>
      <c r="J19" s="136"/>
    </row>
    <row r="20" spans="1:10" ht="49.05" customHeight="1" x14ac:dyDescent="0.3">
      <c r="A20" s="136"/>
      <c r="B20" s="209">
        <f>IF($I20="","",INDEX(NewsCache[PublishedAt],$I20))</f>
        <v>46283.479166666664</v>
      </c>
      <c r="C20" s="211" t="str">
        <f>IF($I20="","",INDEX(NewsCache[Publisher],$I20))</f>
        <v>Mint</v>
      </c>
      <c r="D20" s="149" t="str">
        <f>IF($I20="","",INDEX(NewsCache[Headline],$I20))</f>
        <v>DEMO: Retail chain describes consumer demand trends</v>
      </c>
      <c r="E20" s="207" t="str">
        <f>IF($I20="","",SUBSTITUTE(MID(INDEX(NewsCache[Industries],$I20),2,LEN(INDEX(NewsCache[Industries],$I20))-2),"|",", "))</f>
        <v>Consumer</v>
      </c>
      <c r="F20" s="207" t="str">
        <f>IF($I20="","",INDEX(NewsCache[MatchReason],$I20))</f>
        <v>Title: retail, consumer</v>
      </c>
      <c r="G20" s="205" t="str">
        <f>IF($I20="","",IF($C$7="Demo","Demo",IF(LEN(INDEX(NewsCache[URL],$I20))&gt;255,"Long URL",HYPERLINK(INDEX(NewsCache[URL],$I20),"Read"))))</f>
        <v>Demo</v>
      </c>
      <c r="H20" s="136"/>
      <c r="I20" s="136">
        <f>IF(AND($J$10,$J$11,$J$12),IFERROR(SMALL(NewsData!$O$2:$O$2001,($F$7-1)*15+ROW()-12),""),"")</f>
        <v>12</v>
      </c>
      <c r="J20" s="136" t="s">
        <v>400</v>
      </c>
    </row>
    <row r="21" spans="1:10" ht="49.05" customHeight="1" x14ac:dyDescent="0.3">
      <c r="A21" s="136"/>
      <c r="B21" s="208">
        <f>IF($I21="","",INDEX(NewsCache[PublishedAt],$I21))</f>
        <v>46283.458333333336</v>
      </c>
      <c r="C21" s="210" t="str">
        <f>IF($I21="","",INDEX(NewsCache[Publisher],$I21))</f>
        <v>Mint</v>
      </c>
      <c r="D21" s="203" t="str">
        <f>IF($I21="","",INDEX(NewsCache[Headline],$I21))</f>
        <v>DEMO: AI project links technology and healthcare teams</v>
      </c>
      <c r="E21" s="206" t="str">
        <f>IF($I21="","",SUBSTITUTE(MID(INDEX(NewsCache[Industries],$I21),2,LEN(INDEX(NewsCache[Industries],$I21))-2),"|",", "))</f>
        <v>Healthcare, Technology</v>
      </c>
      <c r="F21" s="206" t="str">
        <f>IF($I21="","",INDEX(NewsCache[MatchReason],$I21))</f>
        <v>Title: technology, AI, healthcare</v>
      </c>
      <c r="G21" s="204" t="str">
        <f>IF($I21="","",IF($C$7="Demo","Demo",IF(LEN(INDEX(NewsCache[URL],$I21))&gt;255,"Long URL",HYPERLINK(INDEX(NewsCache[URL],$I21),"Read"))))</f>
        <v>Demo</v>
      </c>
      <c r="H21" s="136"/>
      <c r="I21" s="136">
        <f>IF(AND($J$10,$J$11,$J$12),IFERROR(SMALL(NewsData!$O$2:$O$2001,($F$7-1)*15+ROW()-12),""),"")</f>
        <v>13</v>
      </c>
      <c r="J21" s="136" t="s">
        <v>435</v>
      </c>
    </row>
    <row r="22" spans="1:10" ht="49.05" customHeight="1" x14ac:dyDescent="0.3">
      <c r="A22" s="136"/>
      <c r="B22" s="209">
        <f>IF($I22="","",INDEX(NewsCache[PublishedAt],$I22))</f>
        <v>46283.416666666664</v>
      </c>
      <c r="C22" s="211" t="str">
        <f>IF($I22="","",INDEX(NewsCache[Publisher],$I22))</f>
        <v>Mint</v>
      </c>
      <c r="D22" s="149" t="str">
        <f>IF($I22="","",INDEX(NewsCache[Headline],$I22))</f>
        <v>DEMO: Board meeting scheduled for next month</v>
      </c>
      <c r="E22" s="207" t="str">
        <f>IF($I22="","",SUBSTITUTE(MID(INDEX(NewsCache[Industries],$I22),2,LEN(INDEX(NewsCache[Industries],$I22))-2),"|",", "))</f>
        <v>Unclassified</v>
      </c>
      <c r="F22" s="207" t="str">
        <f>IF($I22="","",INDEX(NewsCache[MatchReason],$I22))</f>
        <v>No keyword match</v>
      </c>
      <c r="G22" s="205" t="str">
        <f>IF($I22="","",IF($C$7="Demo","Demo",IF(LEN(INDEX(NewsCache[URL],$I22))&gt;255,"Long URL",HYPERLINK(INDEX(NewsCache[URL],$I22),"Read"))))</f>
        <v>Demo</v>
      </c>
      <c r="H22" s="136"/>
      <c r="I22" s="136">
        <f>IF(AND($J$10,$J$11,$J$12),IFERROR(SMALL(NewsData!$O$2:$O$2001,($F$7-1)*15+ROW()-12),""),"")</f>
        <v>14</v>
      </c>
      <c r="J22" s="136" t="s">
        <v>51</v>
      </c>
    </row>
    <row r="23" spans="1:10" ht="49.05" customHeight="1" x14ac:dyDescent="0.3">
      <c r="A23" s="136"/>
      <c r="B23" s="208" t="str">
        <f>IF($I23="","",INDEX(NewsCache[PublishedAt],$I23))</f>
        <v/>
      </c>
      <c r="C23" s="210" t="str">
        <f>IF($I23="","",INDEX(NewsCache[Publisher],$I23))</f>
        <v/>
      </c>
      <c r="D23" s="203" t="str">
        <f>IF($I23="","",INDEX(NewsCache[Headline],$I23))</f>
        <v/>
      </c>
      <c r="E23" s="206" t="str">
        <f>IF($I23="","",SUBSTITUTE(MID(INDEX(NewsCache[Industries],$I23),2,LEN(INDEX(NewsCache[Industries],$I23))-2),"|",", "))</f>
        <v/>
      </c>
      <c r="F23" s="206" t="str">
        <f>IF($I23="","",INDEX(NewsCache[MatchReason],$I23))</f>
        <v/>
      </c>
      <c r="G23" s="204" t="str">
        <f>IF($I23="","",IF($C$7="Demo","Demo",IF(LEN(INDEX(NewsCache[URL],$I23))&gt;255,"Long URL",HYPERLINK(INDEX(NewsCache[URL],$I23),"Read"))))</f>
        <v/>
      </c>
      <c r="H23" s="136"/>
      <c r="I23" s="136" t="str">
        <f>IF(AND($J$10,$J$11,$J$12),IFERROR(SMALL(NewsData!$O$2:$O$2001,($F$7-1)*15+ROW()-12),""),"")</f>
        <v/>
      </c>
      <c r="J23" s="136" t="s">
        <v>54</v>
      </c>
    </row>
    <row r="24" spans="1:10" ht="49.05" customHeight="1" x14ac:dyDescent="0.3">
      <c r="A24" s="136"/>
      <c r="B24" s="209" t="str">
        <f>IF($I24="","",INDEX(NewsCache[PublishedAt],$I24))</f>
        <v/>
      </c>
      <c r="C24" s="211" t="str">
        <f>IF($I24="","",INDEX(NewsCache[Publisher],$I24))</f>
        <v/>
      </c>
      <c r="D24" s="149" t="str">
        <f>IF($I24="","",INDEX(NewsCache[Headline],$I24))</f>
        <v/>
      </c>
      <c r="E24" s="207" t="str">
        <f>IF($I24="","",SUBSTITUTE(MID(INDEX(NewsCache[Industries],$I24),2,LEN(INDEX(NewsCache[Industries],$I24))-2),"|",", "))</f>
        <v/>
      </c>
      <c r="F24" s="207" t="str">
        <f>IF($I24="","",INDEX(NewsCache[MatchReason],$I24))</f>
        <v/>
      </c>
      <c r="G24" s="205" t="str">
        <f>IF($I24="","",IF($C$7="Demo","Demo",IF(LEN(INDEX(NewsCache[URL],$I24))&gt;255,"Long URL",HYPERLINK(INDEX(NewsCache[URL],$I24),"Read"))))</f>
        <v/>
      </c>
      <c r="H24" s="136"/>
      <c r="I24" s="136" t="str">
        <f>IF(AND($J$10,$J$11,$J$12),IFERROR(SMALL(NewsData!$O$2:$O$2001,($F$7-1)*15+ROW()-12),""),"")</f>
        <v/>
      </c>
      <c r="J24" s="136" t="s">
        <v>450</v>
      </c>
    </row>
    <row r="25" spans="1:10" ht="49.05" customHeight="1" x14ac:dyDescent="0.3">
      <c r="A25" s="136"/>
      <c r="B25" s="208" t="str">
        <f>IF($I25="","",INDEX(NewsCache[PublishedAt],$I25))</f>
        <v/>
      </c>
      <c r="C25" s="210" t="str">
        <f>IF($I25="","",INDEX(NewsCache[Publisher],$I25))</f>
        <v/>
      </c>
      <c r="D25" s="203" t="str">
        <f>IF($I25="","",INDEX(NewsCache[Headline],$I25))</f>
        <v/>
      </c>
      <c r="E25" s="206" t="str">
        <f>IF($I25="","",SUBSTITUTE(MID(INDEX(NewsCache[Industries],$I25),2,LEN(INDEX(NewsCache[Industries],$I25))-2),"|",", "))</f>
        <v/>
      </c>
      <c r="F25" s="206" t="str">
        <f>IF($I25="","",INDEX(NewsCache[MatchReason],$I25))</f>
        <v/>
      </c>
      <c r="G25" s="204" t="str">
        <f>IF($I25="","",IF($C$7="Demo","Demo",IF(LEN(INDEX(NewsCache[URL],$I25))&gt;255,"Long URL",HYPERLINK(INDEX(NewsCache[URL],$I25),"Read"))))</f>
        <v/>
      </c>
      <c r="H25" s="136"/>
      <c r="I25" s="136" t="str">
        <f>IF(AND($J$10,$J$11,$J$12),IFERROR(SMALL(NewsData!$O$2:$O$2001,($F$7-1)*15+ROW()-12),""),"")</f>
        <v/>
      </c>
      <c r="J25" s="136" t="s">
        <v>455</v>
      </c>
    </row>
    <row r="26" spans="1:10" ht="49.05" customHeight="1" x14ac:dyDescent="0.3">
      <c r="A26" s="136"/>
      <c r="B26" s="209" t="str">
        <f>IF($I26="","",INDEX(NewsCache[PublishedAt],$I26))</f>
        <v/>
      </c>
      <c r="C26" s="211" t="str">
        <f>IF($I26="","",INDEX(NewsCache[Publisher],$I26))</f>
        <v/>
      </c>
      <c r="D26" s="149" t="str">
        <f>IF($I26="","",INDEX(NewsCache[Headline],$I26))</f>
        <v/>
      </c>
      <c r="E26" s="207" t="str">
        <f>IF($I26="","",SUBSTITUTE(MID(INDEX(NewsCache[Industries],$I26),2,LEN(INDEX(NewsCache[Industries],$I26))-2),"|",", "))</f>
        <v/>
      </c>
      <c r="F26" s="207" t="str">
        <f>IF($I26="","",INDEX(NewsCache[MatchReason],$I26))</f>
        <v/>
      </c>
      <c r="G26" s="205" t="str">
        <f>IF($I26="","",IF($C$7="Demo","Demo",IF(LEN(INDEX(NewsCache[URL],$I26))&gt;255,"Long URL",HYPERLINK(INDEX(NewsCache[URL],$I26),"Read"))))</f>
        <v/>
      </c>
      <c r="H26" s="136"/>
      <c r="I26" s="136" t="str">
        <f>IF(AND($J$10,$J$11,$J$12),IFERROR(SMALL(NewsData!$O$2:$O$2001,($F$7-1)*15+ROW()-12),""),"")</f>
        <v/>
      </c>
      <c r="J26" s="136" t="s">
        <v>460</v>
      </c>
    </row>
    <row r="27" spans="1:10" ht="49.05" customHeight="1" x14ac:dyDescent="0.3">
      <c r="A27" s="136"/>
      <c r="B27" s="208" t="str">
        <f>IF($I27="","",INDEX(NewsCache[PublishedAt],$I27))</f>
        <v/>
      </c>
      <c r="C27" s="210" t="str">
        <f>IF($I27="","",INDEX(NewsCache[Publisher],$I27))</f>
        <v/>
      </c>
      <c r="D27" s="203" t="str">
        <f>IF($I27="","",INDEX(NewsCache[Headline],$I27))</f>
        <v/>
      </c>
      <c r="E27" s="206" t="str">
        <f>IF($I27="","",SUBSTITUTE(MID(INDEX(NewsCache[Industries],$I27),2,LEN(INDEX(NewsCache[Industries],$I27))-2),"|",", "))</f>
        <v/>
      </c>
      <c r="F27" s="206" t="str">
        <f>IF($I27="","",INDEX(NewsCache[MatchReason],$I27))</f>
        <v/>
      </c>
      <c r="G27" s="204" t="str">
        <f>IF($I27="","",IF($C$7="Demo","Demo",IF(LEN(INDEX(NewsCache[URL],$I27))&gt;255,"Long URL",HYPERLINK(INDEX(NewsCache[URL],$I27),"Read"))))</f>
        <v/>
      </c>
      <c r="H27" s="136"/>
      <c r="I27" s="136" t="str">
        <f>IF(AND($J$10,$J$11,$J$12),IFERROR(SMALL(NewsData!$O$2:$O$2001,($F$7-1)*15+ROW()-12),""),"")</f>
        <v/>
      </c>
      <c r="J27" s="136" t="s">
        <v>57</v>
      </c>
    </row>
    <row r="28" spans="1:10" ht="22.95" customHeight="1" x14ac:dyDescent="0.3">
      <c r="A28" s="136"/>
      <c r="B28" s="136"/>
      <c r="C28" s="136"/>
      <c r="D28" s="136"/>
      <c r="E28" s="136"/>
      <c r="F28" s="136"/>
      <c r="G28" s="136"/>
      <c r="H28" s="136"/>
      <c r="I28" s="136"/>
      <c r="J28" s="136" t="s">
        <v>467</v>
      </c>
    </row>
    <row r="29" spans="1:10" ht="25.05" customHeight="1" x14ac:dyDescent="0.3">
      <c r="A29" s="136"/>
      <c r="B29" s="171" t="s">
        <v>412</v>
      </c>
      <c r="C29" s="171"/>
      <c r="D29" s="171"/>
      <c r="E29" s="171"/>
      <c r="F29" s="171"/>
      <c r="G29" s="171"/>
      <c r="H29" s="136"/>
      <c r="I29" s="136"/>
      <c r="J29" s="136" t="s">
        <v>503</v>
      </c>
    </row>
    <row r="30" spans="1:10" ht="25.05" customHeight="1" x14ac:dyDescent="0.3">
      <c r="A30" s="136"/>
      <c r="B30" s="171" t="s">
        <v>413</v>
      </c>
      <c r="C30" s="171"/>
      <c r="D30" s="171"/>
      <c r="E30" s="171"/>
      <c r="F30" s="171"/>
      <c r="G30" s="171"/>
      <c r="H30" s="136"/>
      <c r="I30" s="136"/>
      <c r="J30" s="136"/>
    </row>
    <row r="31" spans="1:10" ht="22.95" customHeight="1" x14ac:dyDescent="0.3">
      <c r="A31" s="136"/>
      <c r="B31" s="136"/>
      <c r="C31" s="136"/>
      <c r="D31" s="136"/>
      <c r="E31" s="136"/>
      <c r="F31" s="136"/>
      <c r="G31" s="136"/>
      <c r="H31" s="136"/>
      <c r="I31" s="136"/>
      <c r="J31" s="136"/>
    </row>
    <row r="32" spans="1:10" ht="22.95" customHeight="1" x14ac:dyDescent="0.3">
      <c r="A32" s="136"/>
      <c r="B32" s="195" t="s">
        <v>414</v>
      </c>
      <c r="C32" s="136"/>
      <c r="D32" s="136" t="s">
        <v>415</v>
      </c>
      <c r="E32" s="136"/>
      <c r="F32" s="136"/>
      <c r="G32" s="136"/>
      <c r="H32" s="136"/>
      <c r="I32" s="136"/>
      <c r="J32" s="136" t="s">
        <v>402</v>
      </c>
    </row>
    <row r="33" spans="1:10" ht="22.95" customHeight="1" x14ac:dyDescent="0.3">
      <c r="A33" s="136"/>
      <c r="B33" s="136"/>
      <c r="C33" s="136"/>
      <c r="D33" s="212" t="s">
        <v>539</v>
      </c>
      <c r="E33" s="136"/>
      <c r="F33" s="136"/>
      <c r="G33" s="136"/>
      <c r="H33" s="136"/>
      <c r="I33" s="136"/>
      <c r="J33" s="136" t="str">
        <f>IF(INDEX(NewsSources[Publisher],1)="","",INDEX(NewsSources[Publisher],1))</f>
        <v>Mint</v>
      </c>
    </row>
    <row r="34" spans="1:10" ht="30" customHeight="1" x14ac:dyDescent="0.3">
      <c r="A34" s="136"/>
      <c r="B34" s="141" t="s">
        <v>416</v>
      </c>
      <c r="C34" s="141" t="s">
        <v>401</v>
      </c>
      <c r="D34" s="141" t="s">
        <v>417</v>
      </c>
      <c r="E34" s="141" t="s">
        <v>418</v>
      </c>
      <c r="F34" s="141" t="s">
        <v>419</v>
      </c>
      <c r="G34" s="141" t="s">
        <v>420</v>
      </c>
      <c r="H34" s="136"/>
      <c r="I34" s="136"/>
      <c r="J34" s="136" t="str">
        <f>IF(INDEX(NewsSources[Publisher],2)="","",INDEX(NewsSources[Publisher],2))</f>
        <v>Mint</v>
      </c>
    </row>
    <row r="35" spans="1:10" ht="34.049999999999997" customHeight="1" x14ac:dyDescent="0.3">
      <c r="A35" s="136"/>
      <c r="B35" s="143" t="s">
        <v>421</v>
      </c>
      <c r="C35" s="143" t="s">
        <v>422</v>
      </c>
      <c r="D35" s="143" t="s">
        <v>423</v>
      </c>
      <c r="E35" s="143" t="s">
        <v>230</v>
      </c>
      <c r="F35" s="207" t="str">
        <f>IF(B35="","",IF(E35&lt;&gt;"Yes","Not followed",IFERROR(INDEX(NewsCache[State],MATCH(1,INDEX((NewsCache[RowType]="Feed")*(NewsCache[SourceID]=B35),0),0)),"Refresh required")))</f>
        <v>Ready</v>
      </c>
      <c r="G35" s="207">
        <f>IF(OR(B35="",E35&lt;&gt;"Yes"),"",IFERROR(INDEX(NewsCache[ItemCount],MATCH(1,INDEX((NewsCache[RowType]="Feed")*(NewsCache[SourceID]=B35),0),0)),"—"))</f>
        <v>6</v>
      </c>
      <c r="H35" s="136"/>
      <c r="I35" s="136"/>
      <c r="J35" s="136" t="str">
        <f>IF(INDEX(NewsSources[Publisher],3)="","",INDEX(NewsSources[Publisher],3))</f>
        <v>Mint</v>
      </c>
    </row>
    <row r="36" spans="1:10" ht="34.049999999999997" customHeight="1" x14ac:dyDescent="0.3">
      <c r="A36" s="136"/>
      <c r="B36" s="143" t="s">
        <v>424</v>
      </c>
      <c r="C36" s="143" t="s">
        <v>422</v>
      </c>
      <c r="D36" s="143" t="s">
        <v>425</v>
      </c>
      <c r="E36" s="143" t="s">
        <v>230</v>
      </c>
      <c r="F36" s="207" t="str">
        <f>IF(B36="","",IF(E36&lt;&gt;"Yes","Not followed",IFERROR(INDEX(NewsCache[State],MATCH(1,INDEX((NewsCache[RowType]="Feed")*(NewsCache[SourceID]=B36),0),0)),"Refresh required")))</f>
        <v>Ready</v>
      </c>
      <c r="G36" s="207">
        <f>IF(OR(B36="",E36&lt;&gt;"Yes"),"",IFERROR(INDEX(NewsCache[ItemCount],MATCH(1,INDEX((NewsCache[RowType]="Feed")*(NewsCache[SourceID]=B36),0),0)),"—"))</f>
        <v>2</v>
      </c>
      <c r="H36" s="136"/>
      <c r="I36" s="136"/>
      <c r="J36" s="136" t="str">
        <f>IF(INDEX(NewsSources[Publisher],4)="","",INDEX(NewsSources[Publisher],4))</f>
        <v/>
      </c>
    </row>
    <row r="37" spans="1:10" ht="34.049999999999997" customHeight="1" x14ac:dyDescent="0.3">
      <c r="A37" s="136"/>
      <c r="B37" s="143" t="s">
        <v>426</v>
      </c>
      <c r="C37" s="143" t="s">
        <v>422</v>
      </c>
      <c r="D37" s="143" t="s">
        <v>427</v>
      </c>
      <c r="E37" s="143" t="s">
        <v>230</v>
      </c>
      <c r="F37" s="207" t="str">
        <f>IF(B37="","",IF(E37&lt;&gt;"Yes","Not followed",IFERROR(INDEX(NewsCache[State],MATCH(1,INDEX((NewsCache[RowType]="Feed")*(NewsCache[SourceID]=B37),0),0)),"Refresh required")))</f>
        <v>Ready</v>
      </c>
      <c r="G37" s="207">
        <f>IF(OR(B37="",E37&lt;&gt;"Yes"),"",IFERROR(INDEX(NewsCache[ItemCount],MATCH(1,INDEX((NewsCache[RowType]="Feed")*(NewsCache[SourceID]=B37),0),0)),"—"))</f>
        <v>3</v>
      </c>
      <c r="H37" s="136"/>
      <c r="I37" s="136"/>
      <c r="J37" s="136" t="str">
        <f>IF(INDEX(NewsSources[Publisher],5)="","",INDEX(NewsSources[Publisher],5))</f>
        <v/>
      </c>
    </row>
    <row r="38" spans="1:10" ht="34.049999999999997" customHeight="1" x14ac:dyDescent="0.3">
      <c r="A38" s="136"/>
      <c r="B38" s="143"/>
      <c r="C38" s="143"/>
      <c r="D38" s="143"/>
      <c r="E38" s="143" t="s">
        <v>232</v>
      </c>
      <c r="F38" s="207" t="str">
        <f>IF(B38="","",IF(E38&lt;&gt;"Yes","Not followed",IFERROR(INDEX(NewsCache[State],MATCH(1,INDEX((NewsCache[RowType]="Feed")*(NewsCache[SourceID]=B38),0),0)),"Refresh required")))</f>
        <v/>
      </c>
      <c r="G38" s="207" t="str">
        <f>IF(OR(B38="",E38&lt;&gt;"Yes"),"",IFERROR(INDEX(NewsCache[ItemCount],MATCH(1,INDEX((NewsCache[RowType]="Feed")*(NewsCache[SourceID]=B38),0),0)),"—"))</f>
        <v/>
      </c>
      <c r="H38" s="136"/>
      <c r="I38" s="136"/>
      <c r="J38" s="136" t="str">
        <f>IF(INDEX(NewsSources[Publisher],6)="","",INDEX(NewsSources[Publisher],6))</f>
        <v/>
      </c>
    </row>
    <row r="39" spans="1:10" ht="34.049999999999997" customHeight="1" x14ac:dyDescent="0.3">
      <c r="A39" s="136"/>
      <c r="B39" s="143"/>
      <c r="C39" s="143"/>
      <c r="D39" s="143"/>
      <c r="E39" s="143" t="s">
        <v>232</v>
      </c>
      <c r="F39" s="207" t="str">
        <f>IF(B39="","",IF(E39&lt;&gt;"Yes","Not followed",IFERROR(INDEX(NewsCache[State],MATCH(1,INDEX((NewsCache[RowType]="Feed")*(NewsCache[SourceID]=B39),0),0)),"Refresh required")))</f>
        <v/>
      </c>
      <c r="G39" s="207" t="str">
        <f>IF(OR(B39="",E39&lt;&gt;"Yes"),"",IFERROR(INDEX(NewsCache[ItemCount],MATCH(1,INDEX((NewsCache[RowType]="Feed")*(NewsCache[SourceID]=B39),0),0)),"—"))</f>
        <v/>
      </c>
      <c r="H39" s="136"/>
      <c r="I39" s="136"/>
      <c r="J39" s="136"/>
    </row>
    <row r="40" spans="1:10" ht="34.049999999999997" customHeight="1" x14ac:dyDescent="0.3">
      <c r="A40" s="136"/>
      <c r="B40" s="143"/>
      <c r="C40" s="143"/>
      <c r="D40" s="143"/>
      <c r="E40" s="143" t="s">
        <v>232</v>
      </c>
      <c r="F40" s="207" t="str">
        <f>IF(B40="","",IF(E40&lt;&gt;"Yes","Not followed",IFERROR(INDEX(NewsCache[State],MATCH(1,INDEX((NewsCache[RowType]="Feed")*(NewsCache[SourceID]=B40),0),0)),"Refresh required")))</f>
        <v/>
      </c>
      <c r="G40" s="207" t="str">
        <f>IF(OR(B40="",E40&lt;&gt;"Yes"),"",IFERROR(INDEX(NewsCache[ItemCount],MATCH(1,INDEX((NewsCache[RowType]="Feed")*(NewsCache[SourceID]=B40),0),0)),"—"))</f>
        <v/>
      </c>
      <c r="H40" s="136"/>
      <c r="I40" s="136"/>
      <c r="J40" s="136"/>
    </row>
    <row r="41" spans="1:10" ht="22.95" customHeight="1" x14ac:dyDescent="0.3">
      <c r="A41" s="136"/>
      <c r="B41" s="136"/>
      <c r="C41" s="136"/>
      <c r="D41" s="136"/>
      <c r="E41" s="136"/>
      <c r="F41" s="136"/>
      <c r="G41" s="136"/>
      <c r="H41" s="136"/>
      <c r="I41" s="136"/>
      <c r="J41" s="136"/>
    </row>
    <row r="42" spans="1:10" ht="22.95" customHeight="1" x14ac:dyDescent="0.3">
      <c r="A42" s="136"/>
      <c r="B42" s="136" t="s">
        <v>428</v>
      </c>
      <c r="C42" s="197" t="s">
        <v>429</v>
      </c>
      <c r="D42" s="197"/>
      <c r="E42" s="197"/>
      <c r="F42" s="197"/>
      <c r="G42" s="197"/>
      <c r="H42" s="136"/>
      <c r="I42" s="136"/>
      <c r="J42" s="136"/>
    </row>
    <row r="43" spans="1:10" ht="22.95" customHeight="1" x14ac:dyDescent="0.3">
      <c r="A43" s="136"/>
      <c r="B43" s="136"/>
      <c r="C43" s="197"/>
      <c r="D43" s="197"/>
      <c r="E43" s="197"/>
      <c r="F43" s="197"/>
      <c r="G43" s="197"/>
      <c r="H43" s="136"/>
      <c r="I43" s="136"/>
      <c r="J43" s="136"/>
    </row>
    <row r="44" spans="1:10" ht="22.95" customHeight="1" x14ac:dyDescent="0.3">
      <c r="A44" s="136"/>
      <c r="B44" s="136" t="s">
        <v>430</v>
      </c>
      <c r="C44" s="197" t="s">
        <v>431</v>
      </c>
      <c r="D44" s="197"/>
      <c r="E44" s="197"/>
      <c r="F44" s="197"/>
      <c r="G44" s="197"/>
      <c r="H44" s="136"/>
      <c r="I44" s="136"/>
      <c r="J44" s="136"/>
    </row>
    <row r="45" spans="1:10" ht="22.95" customHeight="1" x14ac:dyDescent="0.3">
      <c r="A45" s="136"/>
      <c r="B45" s="136"/>
      <c r="C45" s="197"/>
      <c r="D45" s="197"/>
      <c r="E45" s="197"/>
      <c r="F45" s="197"/>
      <c r="G45" s="197"/>
      <c r="H45" s="136"/>
      <c r="I45" s="136"/>
      <c r="J45" s="136"/>
    </row>
    <row r="46" spans="1:10" ht="22.95" customHeight="1" x14ac:dyDescent="0.3">
      <c r="A46" s="136"/>
      <c r="B46" s="195" t="s">
        <v>432</v>
      </c>
      <c r="C46" s="136"/>
      <c r="D46" s="136" t="s">
        <v>433</v>
      </c>
      <c r="E46" s="136"/>
      <c r="F46" s="136"/>
      <c r="G46" s="136"/>
      <c r="H46" s="136"/>
      <c r="I46" s="136"/>
      <c r="J46" s="136"/>
    </row>
    <row r="47" spans="1:10" ht="22.95" customHeight="1" x14ac:dyDescent="0.3">
      <c r="A47" s="136"/>
      <c r="B47" s="136"/>
      <c r="C47" s="136"/>
      <c r="D47" s="136"/>
      <c r="E47" s="136"/>
      <c r="F47" s="136"/>
      <c r="G47" s="136"/>
      <c r="H47" s="136"/>
      <c r="I47" s="136"/>
      <c r="J47" s="136"/>
    </row>
    <row r="48" spans="1:10" ht="30" customHeight="1" x14ac:dyDescent="0.3">
      <c r="A48" s="136"/>
      <c r="B48" s="141" t="s">
        <v>399</v>
      </c>
      <c r="C48" s="141" t="s">
        <v>434</v>
      </c>
      <c r="D48" s="136"/>
      <c r="E48" s="136"/>
      <c r="F48" s="136"/>
      <c r="G48" s="136"/>
      <c r="H48" s="136"/>
      <c r="I48" s="136"/>
      <c r="J48" s="136"/>
    </row>
    <row r="49" spans="1:10" ht="22.95" customHeight="1" x14ac:dyDescent="0.3">
      <c r="A49" s="136"/>
      <c r="B49" s="164" t="s">
        <v>435</v>
      </c>
      <c r="C49" s="164" t="s">
        <v>436</v>
      </c>
      <c r="D49" s="198" t="s">
        <v>437</v>
      </c>
      <c r="E49" s="198"/>
      <c r="F49" s="198"/>
      <c r="G49" s="198"/>
      <c r="H49" s="136"/>
      <c r="I49" s="136"/>
      <c r="J49" s="136"/>
    </row>
    <row r="50" spans="1:10" ht="22.95" customHeight="1" x14ac:dyDescent="0.3">
      <c r="A50" s="136"/>
      <c r="B50" s="164" t="s">
        <v>435</v>
      </c>
      <c r="C50" s="164" t="s">
        <v>438</v>
      </c>
      <c r="D50" s="198"/>
      <c r="E50" s="198"/>
      <c r="F50" s="198"/>
      <c r="G50" s="198"/>
      <c r="H50" s="136"/>
      <c r="I50" s="136"/>
      <c r="J50" s="136"/>
    </row>
    <row r="51" spans="1:10" ht="22.95" customHeight="1" x14ac:dyDescent="0.3">
      <c r="A51" s="136"/>
      <c r="B51" s="164" t="s">
        <v>435</v>
      </c>
      <c r="C51" s="164" t="s">
        <v>439</v>
      </c>
      <c r="D51" s="198"/>
      <c r="E51" s="198"/>
      <c r="F51" s="198"/>
      <c r="G51" s="198"/>
      <c r="H51" s="136"/>
      <c r="I51" s="136"/>
      <c r="J51" s="136"/>
    </row>
    <row r="52" spans="1:10" ht="22.95" customHeight="1" x14ac:dyDescent="0.3">
      <c r="A52" s="136"/>
      <c r="B52" s="164" t="s">
        <v>435</v>
      </c>
      <c r="C52" s="164" t="s">
        <v>440</v>
      </c>
      <c r="D52" s="199"/>
      <c r="E52" s="199"/>
      <c r="F52" s="199"/>
      <c r="G52" s="199"/>
      <c r="H52" s="136"/>
      <c r="I52" s="136"/>
      <c r="J52" s="136"/>
    </row>
    <row r="53" spans="1:10" ht="22.95" customHeight="1" x14ac:dyDescent="0.3">
      <c r="A53" s="136"/>
      <c r="B53" s="164" t="s">
        <v>51</v>
      </c>
      <c r="C53" s="164" t="s">
        <v>441</v>
      </c>
      <c r="D53" s="198" t="s">
        <v>442</v>
      </c>
      <c r="E53" s="198"/>
      <c r="F53" s="198"/>
      <c r="G53" s="198"/>
      <c r="H53" s="136"/>
      <c r="I53" s="136"/>
      <c r="J53" s="136"/>
    </row>
    <row r="54" spans="1:10" ht="22.95" customHeight="1" x14ac:dyDescent="0.3">
      <c r="A54" s="136"/>
      <c r="B54" s="164" t="s">
        <v>51</v>
      </c>
      <c r="C54" s="164" t="s">
        <v>443</v>
      </c>
      <c r="D54" s="198"/>
      <c r="E54" s="198"/>
      <c r="F54" s="198"/>
      <c r="G54" s="198"/>
      <c r="H54" s="136"/>
      <c r="I54" s="136"/>
      <c r="J54" s="136"/>
    </row>
    <row r="55" spans="1:10" ht="22.95" customHeight="1" x14ac:dyDescent="0.3">
      <c r="A55" s="136"/>
      <c r="B55" s="164" t="s">
        <v>51</v>
      </c>
      <c r="C55" s="164" t="s">
        <v>444</v>
      </c>
      <c r="D55" s="198"/>
      <c r="E55" s="198"/>
      <c r="F55" s="198"/>
      <c r="G55" s="198"/>
      <c r="H55" s="136"/>
      <c r="I55" s="136"/>
      <c r="J55" s="136"/>
    </row>
    <row r="56" spans="1:10" ht="22.95" customHeight="1" x14ac:dyDescent="0.3">
      <c r="A56" s="136"/>
      <c r="B56" s="164" t="s">
        <v>51</v>
      </c>
      <c r="C56" s="164" t="s">
        <v>445</v>
      </c>
      <c r="D56" s="199"/>
      <c r="E56" s="199"/>
      <c r="F56" s="199"/>
      <c r="G56" s="199"/>
      <c r="H56" s="136"/>
      <c r="I56" s="136"/>
      <c r="J56" s="136"/>
    </row>
    <row r="57" spans="1:10" ht="22.95" customHeight="1" x14ac:dyDescent="0.3">
      <c r="A57" s="136"/>
      <c r="B57" s="164" t="s">
        <v>54</v>
      </c>
      <c r="C57" s="164" t="s">
        <v>446</v>
      </c>
      <c r="D57" s="198" t="s">
        <v>447</v>
      </c>
      <c r="E57" s="198"/>
      <c r="F57" s="198"/>
      <c r="G57" s="198"/>
      <c r="H57" s="136"/>
      <c r="I57" s="136"/>
      <c r="J57" s="136"/>
    </row>
    <row r="58" spans="1:10" ht="22.95" customHeight="1" x14ac:dyDescent="0.3">
      <c r="A58" s="136"/>
      <c r="B58" s="164" t="s">
        <v>54</v>
      </c>
      <c r="C58" s="164" t="s">
        <v>448</v>
      </c>
      <c r="D58" s="198"/>
      <c r="E58" s="198"/>
      <c r="F58" s="198"/>
      <c r="G58" s="198"/>
      <c r="H58" s="136"/>
      <c r="I58" s="136"/>
      <c r="J58" s="136"/>
    </row>
    <row r="59" spans="1:10" ht="22.95" customHeight="1" x14ac:dyDescent="0.3">
      <c r="A59" s="136"/>
      <c r="B59" s="164" t="s">
        <v>54</v>
      </c>
      <c r="C59" s="164" t="s">
        <v>449</v>
      </c>
      <c r="D59" s="198"/>
      <c r="E59" s="198"/>
      <c r="F59" s="198"/>
      <c r="G59" s="198"/>
      <c r="H59" s="136"/>
      <c r="I59" s="136"/>
      <c r="J59" s="136"/>
    </row>
    <row r="60" spans="1:10" ht="22.95" customHeight="1" x14ac:dyDescent="0.3">
      <c r="A60" s="136"/>
      <c r="B60" s="164" t="s">
        <v>450</v>
      </c>
      <c r="C60" s="164" t="s">
        <v>451</v>
      </c>
      <c r="D60" s="199"/>
      <c r="E60" s="199"/>
      <c r="F60" s="199"/>
      <c r="G60" s="199"/>
      <c r="H60" s="136"/>
      <c r="I60" s="136"/>
      <c r="J60" s="136"/>
    </row>
    <row r="61" spans="1:10" ht="22.95" customHeight="1" x14ac:dyDescent="0.3">
      <c r="A61" s="136"/>
      <c r="B61" s="164" t="s">
        <v>450</v>
      </c>
      <c r="C61" s="164" t="s">
        <v>452</v>
      </c>
      <c r="D61" s="198" t="s">
        <v>453</v>
      </c>
      <c r="E61" s="198"/>
      <c r="F61" s="198"/>
      <c r="G61" s="198"/>
      <c r="H61" s="136"/>
      <c r="I61" s="136"/>
      <c r="J61" s="136"/>
    </row>
    <row r="62" spans="1:10" ht="22.95" customHeight="1" x14ac:dyDescent="0.3">
      <c r="A62" s="136"/>
      <c r="B62" s="164" t="s">
        <v>450</v>
      </c>
      <c r="C62" s="164" t="s">
        <v>454</v>
      </c>
      <c r="D62" s="198"/>
      <c r="E62" s="198"/>
      <c r="F62" s="198"/>
      <c r="G62" s="198"/>
      <c r="H62" s="136"/>
      <c r="I62" s="136"/>
      <c r="J62" s="136"/>
    </row>
    <row r="63" spans="1:10" ht="22.95" customHeight="1" x14ac:dyDescent="0.3">
      <c r="A63" s="136"/>
      <c r="B63" s="164" t="s">
        <v>455</v>
      </c>
      <c r="C63" s="164" t="s">
        <v>456</v>
      </c>
      <c r="D63" s="198"/>
      <c r="E63" s="198"/>
      <c r="F63" s="198"/>
      <c r="G63" s="198"/>
      <c r="H63" s="136"/>
      <c r="I63" s="136"/>
      <c r="J63" s="136"/>
    </row>
    <row r="64" spans="1:10" ht="22.95" customHeight="1" x14ac:dyDescent="0.3">
      <c r="A64" s="136"/>
      <c r="B64" s="164" t="s">
        <v>455</v>
      </c>
      <c r="C64" s="164" t="s">
        <v>457</v>
      </c>
      <c r="D64" s="199"/>
      <c r="E64" s="199"/>
      <c r="F64" s="199"/>
      <c r="G64" s="199"/>
      <c r="H64" s="136"/>
      <c r="I64" s="136"/>
      <c r="J64" s="136"/>
    </row>
    <row r="65" spans="1:10" ht="22.95" customHeight="1" x14ac:dyDescent="0.3">
      <c r="A65" s="136"/>
      <c r="B65" s="164" t="s">
        <v>455</v>
      </c>
      <c r="C65" s="164" t="s">
        <v>458</v>
      </c>
      <c r="D65" s="198" t="s">
        <v>459</v>
      </c>
      <c r="E65" s="198"/>
      <c r="F65" s="198"/>
      <c r="G65" s="198"/>
      <c r="H65" s="136"/>
      <c r="I65" s="136"/>
      <c r="J65" s="136"/>
    </row>
    <row r="66" spans="1:10" ht="22.95" customHeight="1" x14ac:dyDescent="0.3">
      <c r="A66" s="136"/>
      <c r="B66" s="164" t="s">
        <v>460</v>
      </c>
      <c r="C66" s="164" t="s">
        <v>461</v>
      </c>
      <c r="D66" s="198"/>
      <c r="E66" s="198"/>
      <c r="F66" s="198"/>
      <c r="G66" s="198"/>
      <c r="H66" s="136"/>
      <c r="I66" s="136"/>
      <c r="J66" s="136"/>
    </row>
    <row r="67" spans="1:10" ht="22.95" customHeight="1" x14ac:dyDescent="0.3">
      <c r="A67" s="136"/>
      <c r="B67" s="164" t="s">
        <v>460</v>
      </c>
      <c r="C67" s="164" t="s">
        <v>462</v>
      </c>
      <c r="D67" s="198"/>
      <c r="E67" s="198"/>
      <c r="F67" s="198"/>
      <c r="G67" s="198"/>
      <c r="H67" s="136"/>
      <c r="I67" s="136"/>
      <c r="J67" s="136"/>
    </row>
    <row r="68" spans="1:10" ht="22.95" customHeight="1" x14ac:dyDescent="0.3">
      <c r="A68" s="136"/>
      <c r="B68" s="164" t="s">
        <v>460</v>
      </c>
      <c r="C68" s="164" t="s">
        <v>463</v>
      </c>
      <c r="D68" s="199"/>
      <c r="E68" s="199"/>
      <c r="F68" s="199"/>
      <c r="G68" s="199"/>
      <c r="H68" s="136"/>
      <c r="I68" s="136"/>
      <c r="J68" s="136"/>
    </row>
    <row r="69" spans="1:10" ht="22.95" customHeight="1" x14ac:dyDescent="0.3">
      <c r="A69" s="136"/>
      <c r="B69" s="164" t="s">
        <v>57</v>
      </c>
      <c r="C69" s="164" t="s">
        <v>464</v>
      </c>
      <c r="D69" s="198" t="s">
        <v>465</v>
      </c>
      <c r="E69" s="198"/>
      <c r="F69" s="198"/>
      <c r="G69" s="198"/>
      <c r="H69" s="136"/>
      <c r="I69" s="136"/>
      <c r="J69" s="136"/>
    </row>
    <row r="70" spans="1:10" ht="22.95" customHeight="1" x14ac:dyDescent="0.3">
      <c r="A70" s="136"/>
      <c r="B70" s="164" t="s">
        <v>57</v>
      </c>
      <c r="C70" s="164" t="s">
        <v>466</v>
      </c>
      <c r="D70" s="198"/>
      <c r="E70" s="198"/>
      <c r="F70" s="198"/>
      <c r="G70" s="198"/>
      <c r="H70" s="136"/>
      <c r="I70" s="136"/>
      <c r="J70" s="136"/>
    </row>
    <row r="71" spans="1:10" ht="22.95" customHeight="1" x14ac:dyDescent="0.3">
      <c r="A71" s="136"/>
      <c r="B71" s="164" t="s">
        <v>467</v>
      </c>
      <c r="C71" s="164" t="s">
        <v>468</v>
      </c>
      <c r="D71" s="198"/>
      <c r="E71" s="198"/>
      <c r="F71" s="198"/>
      <c r="G71" s="198"/>
      <c r="H71" s="136"/>
      <c r="I71" s="136"/>
      <c r="J71" s="136"/>
    </row>
    <row r="72" spans="1:10" ht="22.95" customHeight="1" x14ac:dyDescent="0.3">
      <c r="A72" s="136"/>
      <c r="B72" s="164" t="s">
        <v>467</v>
      </c>
      <c r="C72" s="164" t="s">
        <v>469</v>
      </c>
      <c r="D72" s="198"/>
      <c r="E72" s="198"/>
      <c r="F72" s="198"/>
      <c r="G72" s="198"/>
      <c r="H72" s="136"/>
      <c r="I72" s="136"/>
      <c r="J72" s="136"/>
    </row>
    <row r="73" spans="1:10" ht="22.95" customHeight="1" x14ac:dyDescent="0.3">
      <c r="A73" s="136"/>
      <c r="B73" s="164" t="s">
        <v>467</v>
      </c>
      <c r="C73" s="164" t="s">
        <v>159</v>
      </c>
      <c r="D73" s="136"/>
      <c r="E73" s="136"/>
      <c r="F73" s="136"/>
      <c r="G73" s="136"/>
      <c r="H73" s="136"/>
      <c r="I73" s="136"/>
      <c r="J73" s="136"/>
    </row>
    <row r="74" spans="1:10" ht="22.95" customHeight="1" x14ac:dyDescent="0.3">
      <c r="A74" s="136"/>
      <c r="B74" s="136"/>
      <c r="C74" s="136"/>
      <c r="D74" s="136"/>
      <c r="E74" s="136"/>
      <c r="F74" s="136"/>
      <c r="G74" s="136"/>
      <c r="H74" s="136"/>
      <c r="I74" s="136"/>
      <c r="J74" s="136"/>
    </row>
    <row r="75" spans="1:10" ht="22.95" customHeight="1" x14ac:dyDescent="0.3">
      <c r="A75" s="136"/>
      <c r="B75" s="136"/>
      <c r="C75" s="136"/>
      <c r="D75" s="136"/>
      <c r="E75" s="136"/>
      <c r="F75" s="136"/>
      <c r="G75" s="136"/>
      <c r="H75" s="136"/>
      <c r="I75" s="136"/>
      <c r="J75" s="136"/>
    </row>
    <row r="76" spans="1:10" ht="22.95" customHeight="1" x14ac:dyDescent="0.3">
      <c r="A76" s="136"/>
      <c r="B76" s="136"/>
      <c r="C76" s="136"/>
      <c r="D76" s="136"/>
      <c r="E76" s="136"/>
      <c r="F76" s="136"/>
      <c r="G76" s="136"/>
      <c r="H76" s="136"/>
      <c r="I76" s="136"/>
      <c r="J76" s="136"/>
    </row>
    <row r="77" spans="1:10" ht="22.95" customHeight="1" x14ac:dyDescent="0.3">
      <c r="A77" s="136"/>
      <c r="B77" s="136"/>
      <c r="C77" s="136"/>
      <c r="D77" s="136"/>
      <c r="E77" s="136"/>
      <c r="F77" s="136"/>
      <c r="G77" s="136"/>
      <c r="H77" s="136"/>
      <c r="I77" s="136"/>
      <c r="J77" s="136"/>
    </row>
    <row r="78" spans="1:10" ht="22.95" customHeight="1" x14ac:dyDescent="0.3">
      <c r="A78" s="136"/>
      <c r="B78" s="136"/>
      <c r="C78" s="136"/>
      <c r="D78" s="136"/>
      <c r="E78" s="136"/>
      <c r="F78" s="136"/>
      <c r="G78" s="136"/>
      <c r="H78" s="136"/>
      <c r="I78" s="136"/>
      <c r="J78" s="136"/>
    </row>
  </sheetData>
  <mergeCells count="14">
    <mergeCell ref="D65:G67"/>
    <mergeCell ref="D69:G72"/>
    <mergeCell ref="C42:G43"/>
    <mergeCell ref="C44:G45"/>
    <mergeCell ref="D49:G51"/>
    <mergeCell ref="D53:G55"/>
    <mergeCell ref="D57:G59"/>
    <mergeCell ref="D61:G63"/>
    <mergeCell ref="C5:D5"/>
    <mergeCell ref="F5:G5"/>
    <mergeCell ref="B9:G9"/>
    <mergeCell ref="B10:G10"/>
    <mergeCell ref="B29:G29"/>
    <mergeCell ref="B30:G30"/>
  </mergeCells>
  <dataValidations count="6">
    <dataValidation type="list" allowBlank="1" showInputMessage="1" showErrorMessage="1" sqref="C5" xr:uid="{93D32C2B-432A-46B9-9CD2-55D06D5A3F7F}">
      <formula1>NewsIndustryChoices</formula1>
    </dataValidation>
    <dataValidation type="list" allowBlank="1" showInputMessage="1" showErrorMessage="1" sqref="F5" xr:uid="{99523088-6E86-45F9-B0BB-BBC40C2EBB98}">
      <formula1>NewsPublisherChoices</formula1>
    </dataValidation>
    <dataValidation type="list" allowBlank="1" showInputMessage="1" showErrorMessage="1" sqref="C7" xr:uid="{FDB40186-A9C8-4AB7-9714-278D820811A9}">
      <formula1>"Demo,Live RSS"</formula1>
    </dataValidation>
    <dataValidation type="list" allowBlank="1" showInputMessage="1" showErrorMessage="1" sqref="E35:E40" xr:uid="{B589D701-F438-4E0A-BF48-38A78FC53755}">
      <formula1>"Yes,No"</formula1>
    </dataValidation>
    <dataValidation type="whole" allowBlank="1" showInputMessage="1" showErrorMessage="1" sqref="F7" xr:uid="{62047839-82FE-43CF-8BBB-35232DA3CEFE}">
      <formula1>1</formula1>
      <formula2>134</formula2>
    </dataValidation>
    <dataValidation type="list" allowBlank="1" showInputMessage="1" showErrorMessage="1" sqref="B49:B73" xr:uid="{25FCF1FA-7736-4624-8CEB-68C4968A1E7C}">
      <formula1>"Banking/Financials,Technology,Healthcare,Auto,Energy,Consumer,Industrials,Markets"</formula1>
    </dataValidation>
  </dataValidations>
  <hyperlinks>
    <hyperlink ref="B3" location="'Watchlist'!B2" tooltip="Watchlist" display="Watchlist" xr:uid="{63AB690A-2C8F-4EB7-A857-C9CB5A2E171D}"/>
    <hyperlink ref="C3" location="'Stock view'!B2" tooltip="Stock view" display="Stock view" xr:uid="{7A8ED9E4-698A-46CF-8B82-2D92A54581E4}"/>
    <hyperlink ref="D3" location="'Trade plan'!B2" tooltip="Trade plan" display="Trade plan" xr:uid="{DE6DD6B3-4AA8-4F5E-9F87-11985FC6EDF6}"/>
    <hyperlink ref="F3" location="'Help'!B2" tooltip="Help" display="Help" xr:uid="{51FEA13C-D2A3-4246-867B-1EDFCEC88A80}"/>
    <hyperlink ref="E3" location="'Headlines'!B32" tooltip="Edit feed settings and matching rules" display="Sources / rules" xr:uid="{FABFFF65-F2C0-4BF3-B52C-5DE31D0D8C91}"/>
    <hyperlink ref="D33" r:id="rId1" tooltip="Mint RSS directory and personal-use terms" xr:uid="{65087CE0-E25E-4AA5-8922-B0D2D916BDBB}"/>
  </hyperlinks>
  <pageMargins left="0.25" right="0.25" top="0.25" bottom="0.25" header="0.3" footer="0.3"/>
  <pageSetup paperSize="8" scale="80" fitToHeight="0" orientation="portrait" r:id="rId2"/>
  <rowBreaks count="1" manualBreakCount="1">
    <brk id="31" min="1" max="6" man="1"/>
  </rowBreaks>
  <tableParts count="2">
    <tablePart r:id="rId3"/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13C5A"/>
    <pageSetUpPr fitToPage="1"/>
  </sheetPr>
  <dimension ref="A1:T28"/>
  <sheetViews>
    <sheetView showGridLines="0" topLeftCell="B1" zoomScaleNormal="100" workbookViewId="0"/>
  </sheetViews>
  <sheetFormatPr defaultRowHeight="14.4" x14ac:dyDescent="0.3"/>
  <cols>
    <col min="1" max="1" width="22" hidden="1" customWidth="1"/>
    <col min="2" max="2" width="25.77734375" customWidth="1"/>
    <col min="3" max="3" width="22" hidden="1" customWidth="1"/>
    <col min="4" max="4" width="10.77734375" customWidth="1"/>
    <col min="5" max="5" width="13" hidden="1" customWidth="1"/>
    <col min="6" max="6" width="19.77734375" customWidth="1"/>
    <col min="7" max="7" width="18.77734375" customWidth="1"/>
    <col min="8" max="8" width="15.77734375" customWidth="1"/>
    <col min="9" max="9" width="13" hidden="1" customWidth="1"/>
    <col min="10" max="10" width="19.77734375" customWidth="1"/>
    <col min="11" max="12" width="13" hidden="1" customWidth="1"/>
    <col min="13" max="13" width="16.77734375" customWidth="1"/>
  </cols>
  <sheetData>
    <row r="1" spans="1:20" ht="19.95" customHeight="1" x14ac:dyDescent="0.3">
      <c r="A1" s="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0" ht="36" customHeight="1" x14ac:dyDescent="0.3">
      <c r="A2" s="2"/>
      <c r="B2" s="190" t="s">
        <v>308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</row>
    <row r="3" spans="1:20" ht="28.05" customHeight="1" x14ac:dyDescent="0.3">
      <c r="A3" s="3"/>
      <c r="B3" s="72" t="s">
        <v>320</v>
      </c>
      <c r="C3" s="73"/>
      <c r="D3" s="73"/>
      <c r="E3" s="73"/>
      <c r="F3" s="72" t="s">
        <v>318</v>
      </c>
      <c r="G3" s="73"/>
      <c r="H3" s="73"/>
      <c r="I3" s="73"/>
      <c r="J3" s="72" t="s">
        <v>0</v>
      </c>
      <c r="K3" s="73"/>
      <c r="L3" s="73"/>
      <c r="M3" s="72" t="s">
        <v>319</v>
      </c>
      <c r="N3" s="4"/>
      <c r="O3" s="4"/>
      <c r="P3" s="4"/>
      <c r="Q3" s="4"/>
      <c r="R3" s="4"/>
      <c r="S3" s="4"/>
      <c r="T3" s="4"/>
    </row>
    <row r="4" spans="1:20" ht="19.95" customHeight="1" x14ac:dyDescent="0.3">
      <c r="A4" s="5"/>
      <c r="B4" s="71" t="str">
        <f>Portfolio!C5&amp;" portfolio | Valued "&amp;TEXT(Portfolio!J5,"dd mmm yyyy")&amp;" | INR. Change account/date on Portfolio."</f>
        <v>Model portfolio | Valued 18 Sep 2026 | INR. Change account/date on Portfolio.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0" ht="19.95" customHeight="1" x14ac:dyDescent="0.3">
      <c r="A5" s="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0" ht="36" customHeight="1" x14ac:dyDescent="0.3">
      <c r="A6" s="6" t="s">
        <v>11</v>
      </c>
      <c r="B6" s="74" t="s">
        <v>255</v>
      </c>
      <c r="C6" s="74" t="s">
        <v>12</v>
      </c>
      <c r="D6" s="74" t="s">
        <v>309</v>
      </c>
      <c r="E6" s="74" t="s">
        <v>43</v>
      </c>
      <c r="F6" s="74" t="s">
        <v>14</v>
      </c>
      <c r="G6" s="74" t="s">
        <v>15</v>
      </c>
      <c r="H6" s="74" t="s">
        <v>310</v>
      </c>
      <c r="I6" s="74" t="s">
        <v>44</v>
      </c>
      <c r="J6" s="74" t="s">
        <v>311</v>
      </c>
      <c r="K6" s="74" t="s">
        <v>17</v>
      </c>
      <c r="L6" s="74" t="s">
        <v>45</v>
      </c>
      <c r="M6" s="74" t="s">
        <v>236</v>
      </c>
    </row>
    <row r="7" spans="1:20" ht="30" customHeight="1" x14ac:dyDescent="0.3">
      <c r="A7" s="1" t="s">
        <v>46</v>
      </c>
      <c r="B7" s="75" t="s">
        <v>47</v>
      </c>
      <c r="C7" s="75" t="s">
        <v>48</v>
      </c>
      <c r="D7" s="76">
        <f>SUMIFS(Ledger!$J$7:$J$1006,Ledger!$C$7:$C$1006,Portfolio!$C$5,Ledger!$E$7:$E$1006,$A7,Ledger!$B$7:$B$1006,"&lt;="&amp;Portfolio!$J$5)</f>
        <v>90</v>
      </c>
      <c r="E7" s="77">
        <f>Portfolio!$J$5</f>
        <v>46283</v>
      </c>
      <c r="F7" s="78">
        <f>IF(Portfolio!$J$5=MAX(History!$A$7:$A$136),IF(AND(COUNTIFS(Quotes!$A$7:$A$12,A7,Quotes!$B$7:$B$12,"&gt;0")=1,INDEX(History!$B$7:$G$136,MATCH(Portfolio!$J$5,History!$A$7:$A$136,0),MATCH(A7,History!$B$6:$G$6,0))&gt;0),INDEX(Quotes!$B$7:$B$12,MATCH(A7,Quotes!$A$7:$A$12,0)),NA()),IF(INDEX(History!$B$7:$G$136,MATCH(Portfolio!$J$5,History!$A$7:$A$136,0),MATCH(A7,History!$B$6:$G$6,0))&gt;0,INDEX(History!$B$7:$G$136,MATCH(Portfolio!$J$5,History!$A$7:$A$136,0),MATCH(A7,History!$B$6:$G$6,0)),NA()))</f>
        <v>547.4307</v>
      </c>
      <c r="G7" s="78">
        <f t="shared" ref="G7:G12" si="0">D7*F7</f>
        <v>49268.762999999999</v>
      </c>
      <c r="H7" s="79">
        <f t="shared" ref="H7:H12" si="1">IF($G$16=0,"n.a.",G7/$G$16)</f>
        <v>9.3504373517351705E-2</v>
      </c>
      <c r="I7" s="78">
        <f>SUMIFS(Ledger!$O$7:$O$1006,Ledger!$C$7:$C$1006,Portfolio!$C$5,Ledger!$E$7:$E$1006,$A7,Ledger!$B$7:$B$1006,"&lt;="&amp;Portfolio!$J$5)</f>
        <v>48978.631800000003</v>
      </c>
      <c r="J7" s="78">
        <f t="shared" ref="J7:J12" si="2">G7-I7</f>
        <v>290.13119999999617</v>
      </c>
      <c r="K7" s="78">
        <f>SUMIFS(Ledger!$P$7:$P$1006,Ledger!$C$7:$C$1006,Portfolio!$C$5,Ledger!$E$7:$E$1006,$A7,Ledger!$B$7:$B$1006,"&lt;="&amp;Portfolio!$J$5)</f>
        <v>88.746799999998984</v>
      </c>
      <c r="L7" s="78">
        <f>SUMIFS(Ledger!$H$7:$H$1006,Ledger!$C$7:$C$1006,Portfolio!$C$5,Ledger!$E$7:$E$1006,$A7,Ledger!$D$7:$D$1006,"DIVIDEND",Ledger!$B$7:$B$1006,"&lt;="&amp;Portfolio!$J$5)</f>
        <v>0</v>
      </c>
      <c r="M7" s="80" t="str">
        <f t="shared" ref="M7:M12" si="3">IF(OR(NOT(ISNUMBER(F7)),F7&lt;=0),"Review price",IF(D7&lt;-0.000001,"Review units","OK"))</f>
        <v>OK</v>
      </c>
    </row>
    <row r="8" spans="1:20" ht="30" customHeight="1" x14ac:dyDescent="0.3">
      <c r="A8" s="1" t="s">
        <v>49</v>
      </c>
      <c r="B8" s="81" t="s">
        <v>50</v>
      </c>
      <c r="C8" s="81" t="s">
        <v>51</v>
      </c>
      <c r="D8" s="82">
        <f>SUMIFS(Ledger!$J$7:$J$1006,Ledger!$C$7:$C$1006,Portfolio!$C$5,Ledger!$E$7:$E$1006,$A8,Ledger!$B$7:$B$1006,"&lt;="&amp;Portfolio!$J$5)</f>
        <v>220</v>
      </c>
      <c r="E8" s="83">
        <f>Portfolio!$J$5</f>
        <v>46283</v>
      </c>
      <c r="F8" s="84">
        <f>IF(Portfolio!$J$5=MAX(History!$A$7:$A$136),IF(AND(COUNTIFS(Quotes!$A$7:$A$12,A8,Quotes!$B$7:$B$12,"&gt;0")=1,INDEX(History!$B$7:$G$136,MATCH(Portfolio!$J$5,History!$A$7:$A$136,0),MATCH(A8,History!$B$6:$G$6,0))&gt;0),INDEX(Quotes!$B$7:$B$12,MATCH(A8,Quotes!$A$7:$A$12,0)),NA()),IF(INDEX(History!$B$7:$G$136,MATCH(Portfolio!$J$5,History!$A$7:$A$136,0),MATCH(A8,History!$B$6:$G$6,0))&gt;0,INDEX(History!$B$7:$G$136,MATCH(Portfolio!$J$5,History!$A$7:$A$136,0),MATCH(A8,History!$B$6:$G$6,0)),NA()))</f>
        <v>522.94749999999999</v>
      </c>
      <c r="G8" s="84">
        <f t="shared" si="0"/>
        <v>115048.45</v>
      </c>
      <c r="H8" s="85">
        <f t="shared" si="1"/>
        <v>0.21834388741183458</v>
      </c>
      <c r="I8" s="84">
        <f>SUMIFS(Ledger!$O$7:$O$1006,Ledger!$C$7:$C$1006,Portfolio!$C$5,Ledger!$E$7:$E$1006,$A8,Ledger!$B$7:$B$1006,"&lt;="&amp;Portfolio!$J$5)</f>
        <v>131512.90400000001</v>
      </c>
      <c r="J8" s="84">
        <f t="shared" si="2"/>
        <v>-16464.454000000012</v>
      </c>
      <c r="K8" s="84">
        <f>SUMIFS(Ledger!$P$7:$P$1006,Ledger!$C$7:$C$1006,Portfolio!$C$5,Ledger!$E$7:$E$1006,$A8,Ledger!$B$7:$B$1006,"&lt;="&amp;Portfolio!$J$5)</f>
        <v>0</v>
      </c>
      <c r="L8" s="84">
        <f>SUMIFS(Ledger!$H$7:$H$1006,Ledger!$C$7:$C$1006,Portfolio!$C$5,Ledger!$E$7:$E$1006,$A8,Ledger!$D$7:$D$1006,"DIVIDEND",Ledger!$B$7:$B$1006,"&lt;="&amp;Portfolio!$J$5)</f>
        <v>0</v>
      </c>
      <c r="M8" s="86" t="str">
        <f t="shared" si="3"/>
        <v>OK</v>
      </c>
    </row>
    <row r="9" spans="1:20" ht="30" customHeight="1" x14ac:dyDescent="0.3">
      <c r="A9" s="1" t="s">
        <v>52</v>
      </c>
      <c r="B9" s="87" t="s">
        <v>53</v>
      </c>
      <c r="C9" s="87" t="s">
        <v>54</v>
      </c>
      <c r="D9" s="88">
        <f>SUMIFS(Ledger!$J$7:$J$1006,Ledger!$C$7:$C$1006,Portfolio!$C$5,Ledger!$E$7:$E$1006,$A9,Ledger!$B$7:$B$1006,"&lt;="&amp;Portfolio!$J$5)</f>
        <v>80</v>
      </c>
      <c r="E9" s="89">
        <f>Portfolio!$J$5</f>
        <v>46283</v>
      </c>
      <c r="F9" s="90">
        <f>IF(Portfolio!$J$5=MAX(History!$A$7:$A$136),IF(AND(COUNTIFS(Quotes!$A$7:$A$12,A9,Quotes!$B$7:$B$12,"&gt;0")=1,INDEX(History!$B$7:$G$136,MATCH(Portfolio!$J$5,History!$A$7:$A$136,0),MATCH(A9,History!$B$6:$G$6,0))&gt;0),INDEX(Quotes!$B$7:$B$12,MATCH(A9,Quotes!$A$7:$A$12,0)),NA()),IF(INDEX(History!$B$7:$G$136,MATCH(Portfolio!$J$5,History!$A$7:$A$136,0),MATCH(A9,History!$B$6:$G$6,0))&gt;0,INDEX(History!$B$7:$G$136,MATCH(Portfolio!$J$5,History!$A$7:$A$136,0),MATCH(A9,History!$B$6:$G$6,0)),NA()))</f>
        <v>859.55989999999997</v>
      </c>
      <c r="G9" s="90">
        <f t="shared" si="0"/>
        <v>68764.792000000001</v>
      </c>
      <c r="H9" s="91">
        <f t="shared" si="1"/>
        <v>0.13050477431331081</v>
      </c>
      <c r="I9" s="90">
        <f>SUMIFS(Ledger!$O$7:$O$1006,Ledger!$C$7:$C$1006,Portfolio!$C$5,Ledger!$E$7:$E$1006,$A9,Ledger!$B$7:$B$1006,"&lt;="&amp;Portfolio!$J$5)</f>
        <v>68302.160999999993</v>
      </c>
      <c r="J9" s="90">
        <f t="shared" si="2"/>
        <v>462.6310000000085</v>
      </c>
      <c r="K9" s="90">
        <f>SUMIFS(Ledger!$P$7:$P$1006,Ledger!$C$7:$C$1006,Portfolio!$C$5,Ledger!$E$7:$E$1006,$A9,Ledger!$B$7:$B$1006,"&lt;="&amp;Portfolio!$J$5)</f>
        <v>0</v>
      </c>
      <c r="L9" s="90">
        <f>SUMIFS(Ledger!$H$7:$H$1006,Ledger!$C$7:$C$1006,Portfolio!$C$5,Ledger!$E$7:$E$1006,$A9,Ledger!$D$7:$D$1006,"DIVIDEND",Ledger!$B$7:$B$1006,"&lt;="&amp;Portfolio!$J$5)</f>
        <v>100</v>
      </c>
      <c r="M9" s="92" t="str">
        <f t="shared" si="3"/>
        <v>OK</v>
      </c>
    </row>
    <row r="10" spans="1:20" ht="30" customHeight="1" x14ac:dyDescent="0.3">
      <c r="A10" s="1" t="s">
        <v>55</v>
      </c>
      <c r="B10" s="81" t="s">
        <v>56</v>
      </c>
      <c r="C10" s="81" t="s">
        <v>57</v>
      </c>
      <c r="D10" s="82">
        <f>SUMIFS(Ledger!$J$7:$J$1006,Ledger!$C$7:$C$1006,Portfolio!$C$5,Ledger!$E$7:$E$1006,$A10,Ledger!$B$7:$B$1006,"&lt;="&amp;Portfolio!$J$5)</f>
        <v>130</v>
      </c>
      <c r="E10" s="83">
        <f>Portfolio!$J$5</f>
        <v>46283</v>
      </c>
      <c r="F10" s="84">
        <f>IF(Portfolio!$J$5=MAX(History!$A$7:$A$136),IF(AND(COUNTIFS(Quotes!$A$7:$A$12,A10,Quotes!$B$7:$B$12,"&gt;0")=1,INDEX(History!$B$7:$G$136,MATCH(Portfolio!$J$5,History!$A$7:$A$136,0),MATCH(A10,History!$B$6:$G$6,0))&gt;0),INDEX(Quotes!$B$7:$B$12,MATCH(A10,Quotes!$A$7:$A$12,0)),NA()),IF(INDEX(History!$B$7:$G$136,MATCH(Portfolio!$J$5,History!$A$7:$A$136,0),MATCH(A10,History!$B$6:$G$6,0))&gt;0,INDEX(History!$B$7:$G$136,MATCH(Portfolio!$J$5,History!$A$7:$A$136,0),MATCH(A10,History!$B$6:$G$6,0)),NA()))</f>
        <v>453.3229</v>
      </c>
      <c r="G10" s="84">
        <f t="shared" si="0"/>
        <v>58931.976999999999</v>
      </c>
      <c r="H10" s="85">
        <f t="shared" si="1"/>
        <v>0.11184363588596652</v>
      </c>
      <c r="I10" s="84">
        <f>SUMIFS(Ledger!$O$7:$O$1006,Ledger!$C$7:$C$1006,Portfolio!$C$5,Ledger!$E$7:$E$1006,$A10,Ledger!$B$7:$B$1006,"&lt;="&amp;Portfolio!$J$5)</f>
        <v>55921.666666666672</v>
      </c>
      <c r="J10" s="84">
        <f t="shared" si="2"/>
        <v>3010.3103333333274</v>
      </c>
      <c r="K10" s="84">
        <f>SUMIFS(Ledger!$P$7:$P$1006,Ledger!$C$7:$C$1006,Portfolio!$C$5,Ledger!$E$7:$E$1006,$A10,Ledger!$B$7:$B$1006,"&lt;="&amp;Portfolio!$J$5)</f>
        <v>-1029.9583333333321</v>
      </c>
      <c r="L10" s="84">
        <f>SUMIFS(Ledger!$H$7:$H$1006,Ledger!$C$7:$C$1006,Portfolio!$C$5,Ledger!$E$7:$E$1006,$A10,Ledger!$D$7:$D$1006,"DIVIDEND",Ledger!$B$7:$B$1006,"&lt;="&amp;Portfolio!$J$5)</f>
        <v>0</v>
      </c>
      <c r="M10" s="86" t="str">
        <f t="shared" si="3"/>
        <v>OK</v>
      </c>
    </row>
    <row r="11" spans="1:20" ht="30" customHeight="1" x14ac:dyDescent="0.3">
      <c r="A11" s="1" t="s">
        <v>58</v>
      </c>
      <c r="B11" s="87" t="s">
        <v>59</v>
      </c>
      <c r="C11" s="87" t="s">
        <v>60</v>
      </c>
      <c r="D11" s="88">
        <f>SUMIFS(Ledger!$J$7:$J$1006,Ledger!$C$7:$C$1006,Portfolio!$C$5,Ledger!$E$7:$E$1006,$A11,Ledger!$B$7:$B$1006,"&lt;="&amp;Portfolio!$J$5)</f>
        <v>480</v>
      </c>
      <c r="E11" s="89">
        <f>Portfolio!$J$5</f>
        <v>46283</v>
      </c>
      <c r="F11" s="90">
        <f>IF(Portfolio!$J$5=MAX(History!$A$7:$A$136),IF(AND(COUNTIFS(Quotes!$A$7:$A$12,A11,Quotes!$B$7:$B$12,"&gt;0")=1,INDEX(History!$B$7:$G$136,MATCH(Portfolio!$J$5,History!$A$7:$A$136,0),MATCH(A11,History!$B$6:$G$6,0))&gt;0),INDEX(Quotes!$B$7:$B$12,MATCH(A11,Quotes!$A$7:$A$12,0)),NA()),IF(INDEX(History!$B$7:$G$136,MATCH(Portfolio!$J$5,History!$A$7:$A$136,0),MATCH(A11,History!$B$6:$G$6,0))&gt;0,INDEX(History!$B$7:$G$136,MATCH(Portfolio!$J$5,History!$A$7:$A$136,0),MATCH(A11,History!$B$6:$G$6,0)),NA()))</f>
        <v>256.74239999999998</v>
      </c>
      <c r="G11" s="90">
        <f t="shared" si="0"/>
        <v>123236.35199999998</v>
      </c>
      <c r="H11" s="91">
        <f t="shared" si="1"/>
        <v>0.23388323933206587</v>
      </c>
      <c r="I11" s="90">
        <f>SUMIFS(Ledger!$O$7:$O$1006,Ledger!$C$7:$C$1006,Portfolio!$C$5,Ledger!$E$7:$E$1006,$A11,Ledger!$B$7:$B$1006,"&lt;="&amp;Portfolio!$J$5)</f>
        <v>119899.024</v>
      </c>
      <c r="J11" s="90">
        <f t="shared" si="2"/>
        <v>3337.3279999999795</v>
      </c>
      <c r="K11" s="90">
        <f>SUMIFS(Ledger!$P$7:$P$1006,Ledger!$C$7:$C$1006,Portfolio!$C$5,Ledger!$E$7:$E$1006,$A11,Ledger!$B$7:$B$1006,"&lt;="&amp;Portfolio!$J$5)</f>
        <v>0</v>
      </c>
      <c r="L11" s="90">
        <f>SUMIFS(Ledger!$H$7:$H$1006,Ledger!$C$7:$C$1006,Portfolio!$C$5,Ledger!$E$7:$E$1006,$A11,Ledger!$D$7:$D$1006,"DIVIDEND",Ledger!$B$7:$B$1006,"&lt;="&amp;Portfolio!$J$5)</f>
        <v>0</v>
      </c>
      <c r="M11" s="92" t="str">
        <f t="shared" si="3"/>
        <v>OK</v>
      </c>
    </row>
    <row r="12" spans="1:20" ht="30" customHeight="1" x14ac:dyDescent="0.3">
      <c r="A12" s="1" t="s">
        <v>61</v>
      </c>
      <c r="B12" s="93" t="s">
        <v>62</v>
      </c>
      <c r="C12" s="93" t="s">
        <v>63</v>
      </c>
      <c r="D12" s="94">
        <f>SUMIFS(Ledger!$J$7:$J$1006,Ledger!$C$7:$C$1006,Portfolio!$C$5,Ledger!$E$7:$E$1006,$A12,Ledger!$B$7:$B$1006,"&lt;="&amp;Portfolio!$J$5)</f>
        <v>600</v>
      </c>
      <c r="E12" s="95">
        <f>Portfolio!$J$5</f>
        <v>46283</v>
      </c>
      <c r="F12" s="96">
        <f>IF(Portfolio!$J$5=MAX(History!$A$7:$A$136),IF(AND(COUNTIFS(Quotes!$A$7:$A$12,A12,Quotes!$B$7:$B$12,"&gt;0")=1,INDEX(History!$B$7:$G$136,MATCH(Portfolio!$J$5,History!$A$7:$A$136,0),MATCH(A12,History!$B$6:$G$6,0))&gt;0),INDEX(Quotes!$B$7:$B$12,MATCH(A12,Quotes!$A$7:$A$12,0)),NA()),IF(INDEX(History!$B$7:$G$136,MATCH(Portfolio!$J$5,History!$A$7:$A$136,0),MATCH(A12,History!$B$6:$G$6,0))&gt;0,INDEX(History!$B$7:$G$136,MATCH(Portfolio!$J$5,History!$A$7:$A$136,0),MATCH(A12,History!$B$6:$G$6,0)),NA()))</f>
        <v>103.68210000000001</v>
      </c>
      <c r="G12" s="96">
        <f t="shared" si="0"/>
        <v>62209.26</v>
      </c>
      <c r="H12" s="97">
        <f t="shared" si="1"/>
        <v>0.11806340425632458</v>
      </c>
      <c r="I12" s="96">
        <f>SUMIFS(Ledger!$O$7:$O$1006,Ledger!$C$7:$C$1006,Portfolio!$C$5,Ledger!$E$7:$E$1006,$A12,Ledger!$B$7:$B$1006,"&lt;="&amp;Portfolio!$J$5)</f>
        <v>60030</v>
      </c>
      <c r="J12" s="96">
        <f t="shared" si="2"/>
        <v>2179.260000000002</v>
      </c>
      <c r="K12" s="96">
        <f>SUMIFS(Ledger!$P$7:$P$1006,Ledger!$C$7:$C$1006,Portfolio!$C$5,Ledger!$E$7:$E$1006,$A12,Ledger!$B$7:$B$1006,"&lt;="&amp;Portfolio!$J$5)</f>
        <v>0</v>
      </c>
      <c r="L12" s="96">
        <f>SUMIFS(Ledger!$H$7:$H$1006,Ledger!$C$7:$C$1006,Portfolio!$C$5,Ledger!$E$7:$E$1006,$A12,Ledger!$D$7:$D$1006,"DIVIDEND",Ledger!$B$7:$B$1006,"&lt;="&amp;Portfolio!$J$5)</f>
        <v>0</v>
      </c>
      <c r="M12" s="98" t="str">
        <f t="shared" si="3"/>
        <v>OK</v>
      </c>
    </row>
    <row r="13" spans="1:20" ht="19.95" customHeight="1" x14ac:dyDescent="0.3">
      <c r="A13" s="1"/>
      <c r="B13" s="71"/>
      <c r="C13" s="71"/>
      <c r="D13" s="71"/>
      <c r="E13" s="71"/>
      <c r="F13" s="99"/>
      <c r="G13" s="99"/>
      <c r="H13" s="99"/>
      <c r="I13" s="99"/>
      <c r="J13" s="99"/>
      <c r="K13" s="99"/>
      <c r="L13" s="99"/>
      <c r="M13" s="71"/>
    </row>
    <row r="14" spans="1:20" ht="19.95" customHeight="1" x14ac:dyDescent="0.3">
      <c r="A14" s="1"/>
      <c r="B14" s="71"/>
      <c r="C14" s="71"/>
      <c r="D14" s="71"/>
      <c r="E14" s="71"/>
      <c r="F14" s="99" t="s">
        <v>64</v>
      </c>
      <c r="G14" s="99">
        <f>SUM(G7:G12)</f>
        <v>477459.59400000004</v>
      </c>
      <c r="H14" s="99"/>
      <c r="I14" s="99"/>
      <c r="J14" s="99"/>
      <c r="K14" s="99"/>
      <c r="L14" s="99"/>
      <c r="M14" s="71"/>
    </row>
    <row r="15" spans="1:20" ht="19.95" customHeight="1" x14ac:dyDescent="0.3">
      <c r="A15" s="1"/>
      <c r="B15" s="71"/>
      <c r="C15" s="71"/>
      <c r="D15" s="71"/>
      <c r="E15" s="71"/>
      <c r="F15" s="99" t="s">
        <v>10</v>
      </c>
      <c r="G15" s="99">
        <f>SUMIFS(Ledger!$K$7:$K$1006,Ledger!$C$7:$C$1006,Portfolio!$C$5,Ledger!$B$7:$B$1006,"&lt;="&amp;Portfolio!$J$5)</f>
        <v>49454.401000000013</v>
      </c>
      <c r="H15" s="99"/>
      <c r="I15" s="99"/>
      <c r="J15" s="99"/>
      <c r="K15" s="99"/>
      <c r="L15" s="99"/>
      <c r="M15" s="71"/>
    </row>
    <row r="16" spans="1:20" ht="19.95" customHeight="1" x14ac:dyDescent="0.3">
      <c r="A16" s="1"/>
      <c r="B16" s="71"/>
      <c r="C16" s="71"/>
      <c r="D16" s="71"/>
      <c r="E16" s="71"/>
      <c r="F16" s="99" t="s">
        <v>65</v>
      </c>
      <c r="G16" s="99">
        <f>SUM(G14:G15)</f>
        <v>526913.99500000011</v>
      </c>
      <c r="H16" s="99"/>
      <c r="I16" s="99"/>
      <c r="J16" s="99"/>
      <c r="K16" s="99"/>
      <c r="L16" s="99"/>
      <c r="M16" s="71"/>
    </row>
    <row r="17" spans="1:13" ht="19.95" customHeight="1" x14ac:dyDescent="0.3">
      <c r="A17" s="1"/>
      <c r="B17" s="71"/>
      <c r="C17" s="71"/>
      <c r="D17" s="71"/>
      <c r="E17" s="71"/>
      <c r="F17" s="99"/>
      <c r="G17" s="99"/>
      <c r="H17" s="99"/>
      <c r="I17" s="99"/>
      <c r="J17" s="99"/>
      <c r="K17" s="99"/>
      <c r="L17" s="99"/>
      <c r="M17" s="71"/>
    </row>
    <row r="18" spans="1:13" ht="19.95" customHeight="1" x14ac:dyDescent="0.3">
      <c r="A18" s="1"/>
      <c r="B18" s="71"/>
      <c r="C18" s="71"/>
      <c r="D18" s="71"/>
      <c r="E18" s="71"/>
      <c r="F18" s="99" t="s">
        <v>312</v>
      </c>
      <c r="G18" s="99">
        <f>SUMIFS(Ledger!$L$7:$L$1006,Ledger!$C$7:$C$1006,Portfolio!$C$5,Ledger!$B$7:$B$1006,"&lt;="&amp;Portfolio!$J$5)</f>
        <v>535000</v>
      </c>
      <c r="H18" s="99"/>
      <c r="I18" s="99"/>
      <c r="J18" s="99"/>
      <c r="K18" s="99"/>
      <c r="L18" s="99"/>
      <c r="M18" s="71"/>
    </row>
    <row r="19" spans="1:13" ht="19.95" customHeight="1" x14ac:dyDescent="0.3">
      <c r="A19" s="1"/>
      <c r="B19" s="71"/>
      <c r="C19" s="71"/>
      <c r="D19" s="71"/>
      <c r="E19" s="71"/>
      <c r="F19" s="99" t="s">
        <v>66</v>
      </c>
      <c r="G19" s="99">
        <f>G16-G18</f>
        <v>-8086.0049999998882</v>
      </c>
      <c r="H19" s="99"/>
      <c r="I19" s="99"/>
      <c r="J19" s="99"/>
      <c r="K19" s="99"/>
      <c r="L19" s="99"/>
      <c r="M19" s="71"/>
    </row>
    <row r="20" spans="1:13" ht="19.95" customHeight="1" x14ac:dyDescent="0.3">
      <c r="A20" s="1"/>
      <c r="B20" s="71"/>
      <c r="C20" s="71"/>
      <c r="D20" s="71"/>
      <c r="E20" s="71"/>
      <c r="F20" s="99"/>
      <c r="G20" s="99"/>
      <c r="H20" s="99"/>
      <c r="I20" s="99"/>
      <c r="J20" s="99"/>
      <c r="K20" s="99"/>
      <c r="L20" s="99"/>
      <c r="M20" s="71"/>
    </row>
    <row r="21" spans="1:13" ht="19.95" customHeight="1" x14ac:dyDescent="0.3">
      <c r="A21" s="1"/>
      <c r="B21" s="71"/>
      <c r="C21" s="71"/>
      <c r="D21" s="71"/>
      <c r="E21" s="71"/>
      <c r="F21" s="71" t="s">
        <v>67</v>
      </c>
      <c r="G21" s="99">
        <f>SUMIFS(Ledger!$I$7:$I$1006,Ledger!$C$7:$C$1006,Portfolio!$C$5,Ledger!$B$7:$B$1006,"&lt;="&amp;Portfolio!$J$5)+SUMIFS(Ledger!$H$7:$H$1006,Ledger!$C$7:$C$1006,Portfolio!$C$5,Ledger!$D$7:$D$1006,"FEE",Ledger!$B$7:$B$1006,"&lt;="&amp;Portfolio!$J$5)</f>
        <v>370</v>
      </c>
      <c r="H21" s="71"/>
      <c r="I21" s="71"/>
      <c r="J21" s="71"/>
      <c r="K21" s="71"/>
      <c r="L21" s="71"/>
      <c r="M21" s="71"/>
    </row>
    <row r="22" spans="1:13" ht="19.95" customHeight="1" x14ac:dyDescent="0.3">
      <c r="A22" s="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</row>
    <row r="23" spans="1:13" ht="19.95" customHeight="1" x14ac:dyDescent="0.3">
      <c r="A23" s="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</row>
    <row r="24" spans="1:13" ht="19.95" customHeight="1" x14ac:dyDescent="0.3">
      <c r="A24" s="1"/>
      <c r="B24" s="71"/>
      <c r="C24" s="71"/>
      <c r="D24" s="71"/>
      <c r="E24" s="71"/>
      <c r="F24" s="71" t="s">
        <v>68</v>
      </c>
      <c r="G24" s="100">
        <f>IF(COUNTIFS(Ledger!$C$7:$C$1006,Portfolio!$C$5,Ledger!$D$7:$D$1006,"DEPOSIT")&gt;0,_xlfn.MINIFS(Ledger!$B$7:$B$1006,Ledger!$C$7:$C$1006,Portfolio!$C$5,Ledger!$D$7:$D$1006,"DEPOSIT"),NA())</f>
        <v>46104</v>
      </c>
      <c r="H24" s="71"/>
      <c r="I24" s="71"/>
      <c r="J24" s="71"/>
      <c r="K24" s="71"/>
      <c r="L24" s="71"/>
      <c r="M24" s="71"/>
    </row>
    <row r="25" spans="1:13" ht="19.95" customHeight="1" x14ac:dyDescent="0.3">
      <c r="A25" s="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</row>
    <row r="26" spans="1:13" ht="19.95" customHeight="1" x14ac:dyDescent="0.3">
      <c r="A26" s="1"/>
      <c r="B26" s="71" t="s">
        <v>313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</row>
    <row r="27" spans="1:13" ht="19.95" customHeight="1" x14ac:dyDescent="0.3">
      <c r="A27" s="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</row>
    <row r="28" spans="1:13" ht="19.95" customHeight="1" x14ac:dyDescent="0.3">
      <c r="A28" s="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</sheetData>
  <mergeCells count="1">
    <mergeCell ref="B2:M2"/>
  </mergeCells>
  <conditionalFormatting sqref="M7:M12">
    <cfRule type="containsText" dxfId="45" priority="1" operator="containsText" text="Review"/>
  </conditionalFormatting>
  <hyperlinks>
    <hyperlink ref="B3" location="'Watchlist'!A1" tooltip="Watchlist" display="Watchlist" xr:uid="{7C8B404C-EE61-4AFE-94E6-D184AC13143E}"/>
    <hyperlink ref="F3" location="'Transactions'!A1" tooltip="Transactions" display="Transactions" xr:uid="{C5F55A5C-4802-4732-AB6E-4571EB8DDD48}"/>
    <hyperlink ref="J3" location="'Portfolio'!A1" tooltip="Portfolio" display="Portfolio" xr:uid="{86CBEB49-699B-4935-84B6-216419E33D40}"/>
    <hyperlink ref="M3" location="'Help'!A1" tooltip="Help" display="Help" xr:uid="{580CC886-ADC6-4A10-83E7-005EEC508563}"/>
  </hyperlinks>
  <pageMargins left="0.27777777777777779" right="0.27777777777777779" top="0.27777777777777779" bottom="0.27777777777777779" header="0.3" footer="0.3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13C5A"/>
    <pageSetUpPr fitToPage="1"/>
  </sheetPr>
  <dimension ref="A1:T46"/>
  <sheetViews>
    <sheetView showGridLines="0" zoomScaleNormal="100" workbookViewId="0">
      <pane ySplit="6" topLeftCell="A7" activePane="bottomLeft" state="frozenSplit"/>
      <selection pane="bottomLeft"/>
    </sheetView>
  </sheetViews>
  <sheetFormatPr defaultRowHeight="14.4" x14ac:dyDescent="0.3"/>
  <cols>
    <col min="1" max="1" width="16.77734375" customWidth="1"/>
    <col min="2" max="2" width="14.77734375" customWidth="1"/>
    <col min="3" max="3" width="12.77734375" customWidth="1"/>
    <col min="4" max="4" width="13.77734375" customWidth="1"/>
    <col min="5" max="5" width="21.77734375" customWidth="1"/>
    <col min="6" max="6" width="11.77734375" customWidth="1"/>
    <col min="7" max="7" width="12.77734375" customWidth="1"/>
    <col min="8" max="8" width="14.77734375" customWidth="1"/>
    <col min="9" max="9" width="10.77734375" customWidth="1"/>
    <col min="10" max="10" width="13" hidden="1" customWidth="1"/>
    <col min="11" max="11" width="19.77734375" customWidth="1"/>
  </cols>
  <sheetData>
    <row r="1" spans="1:20" ht="19.95" customHeight="1" x14ac:dyDescent="0.3">
      <c r="A1" s="71"/>
      <c r="B1" s="71"/>
      <c r="C1" s="71"/>
      <c r="D1" s="71"/>
      <c r="E1" s="71"/>
      <c r="F1" s="71"/>
      <c r="G1" s="71"/>
      <c r="H1" s="71"/>
      <c r="I1" s="71"/>
      <c r="J1" s="71"/>
    </row>
    <row r="2" spans="1:20" ht="36" customHeight="1" x14ac:dyDescent="0.55000000000000004">
      <c r="A2" s="192" t="s">
        <v>314</v>
      </c>
      <c r="B2" s="191"/>
      <c r="C2" s="191"/>
      <c r="D2" s="191"/>
      <c r="E2" s="191"/>
      <c r="F2" s="191"/>
      <c r="G2" s="191"/>
      <c r="H2" s="191"/>
      <c r="I2" s="191"/>
      <c r="J2" s="191"/>
      <c r="K2" s="193"/>
    </row>
    <row r="3" spans="1:20" ht="28.05" customHeight="1" x14ac:dyDescent="0.3">
      <c r="A3" s="72" t="s">
        <v>320</v>
      </c>
      <c r="B3" s="73"/>
      <c r="C3" s="73"/>
      <c r="D3" s="72" t="s">
        <v>317</v>
      </c>
      <c r="E3" s="73"/>
      <c r="F3" s="72" t="s">
        <v>0</v>
      </c>
      <c r="G3" s="73"/>
      <c r="H3" s="73"/>
      <c r="I3" s="72" t="s">
        <v>319</v>
      </c>
      <c r="J3" s="73"/>
      <c r="K3" s="101"/>
      <c r="L3" s="4"/>
      <c r="M3" s="4"/>
      <c r="N3" s="4"/>
      <c r="O3" s="4"/>
      <c r="P3" s="4"/>
      <c r="Q3" s="4"/>
      <c r="R3" s="4"/>
      <c r="S3" s="4"/>
      <c r="T3" s="4"/>
    </row>
    <row r="4" spans="1:20" ht="19.95" customHeight="1" x14ac:dyDescent="0.3">
      <c r="A4" s="102" t="s">
        <v>315</v>
      </c>
      <c r="B4" s="71"/>
      <c r="C4" s="71"/>
      <c r="D4" s="71"/>
      <c r="E4" s="71"/>
      <c r="F4" s="71"/>
      <c r="G4" s="71"/>
      <c r="H4" s="71"/>
      <c r="I4" s="71"/>
      <c r="J4" s="71"/>
    </row>
    <row r="5" spans="1:20" ht="19.95" customHeight="1" x14ac:dyDescent="0.3">
      <c r="A5" s="103" t="s">
        <v>316</v>
      </c>
      <c r="B5" s="71"/>
      <c r="C5" s="71"/>
      <c r="D5" s="71"/>
      <c r="E5" s="71"/>
      <c r="F5" s="71"/>
      <c r="G5" s="71"/>
      <c r="H5" s="71"/>
      <c r="I5" s="71"/>
      <c r="J5" s="71"/>
    </row>
    <row r="6" spans="1:20" ht="34.049999999999997" customHeight="1" x14ac:dyDescent="0.3">
      <c r="A6" s="104" t="s">
        <v>71</v>
      </c>
      <c r="B6" s="104" t="s">
        <v>72</v>
      </c>
      <c r="C6" s="104" t="s">
        <v>0</v>
      </c>
      <c r="D6" s="104" t="s">
        <v>73</v>
      </c>
      <c r="E6" s="104" t="s">
        <v>11</v>
      </c>
      <c r="F6" s="104" t="s">
        <v>74</v>
      </c>
      <c r="G6" s="104" t="s">
        <v>75</v>
      </c>
      <c r="H6" s="104" t="s">
        <v>76</v>
      </c>
      <c r="I6" s="104" t="s">
        <v>67</v>
      </c>
      <c r="J6" s="104" t="s">
        <v>87</v>
      </c>
      <c r="K6" s="105" t="s">
        <v>154</v>
      </c>
    </row>
    <row r="7" spans="1:20" ht="25.05" customHeight="1" x14ac:dyDescent="0.3">
      <c r="A7" s="106" t="s">
        <v>89</v>
      </c>
      <c r="B7" s="107">
        <v>46104</v>
      </c>
      <c r="C7" s="108" t="s">
        <v>1</v>
      </c>
      <c r="D7" s="106" t="s">
        <v>90</v>
      </c>
      <c r="E7" s="106" t="s">
        <v>91</v>
      </c>
      <c r="F7" s="109">
        <v>0</v>
      </c>
      <c r="G7" s="109">
        <v>0</v>
      </c>
      <c r="H7" s="109">
        <v>500000</v>
      </c>
      <c r="I7" s="109">
        <v>0</v>
      </c>
      <c r="J7" s="71" t="str">
        <f t="shared" ref="J7:J42" si="0">A7&amp;"|"&amp;TEXT(B7,"yyyy-mm-dd")&amp;"|"&amp;C7&amp;"|"&amp;D7&amp;"|"&amp;E7&amp;"|"&amp;TEXT(F7,"0.##############")&amp;"|"&amp;TEXT(G7,"0.##############")&amp;"|"&amp;TEXT(H7,"0.##############")&amp;"|"&amp;TEXT(I7,"0.##############")</f>
        <v>EVT-0001|2026-03-23|Model|DEPOSIT|CASH|0.|0.|500000.|0.</v>
      </c>
      <c r="K7" s="110" t="str">
        <f>IF(COUNTIFS(Ledger!$A$7:$A$1006,A7,Ledger!$T$7:$T$1006,J7)=1,"Loaded","Refresh required")</f>
        <v>Loaded</v>
      </c>
    </row>
    <row r="8" spans="1:20" ht="25.05" customHeight="1" x14ac:dyDescent="0.3">
      <c r="A8" s="106" t="s">
        <v>92</v>
      </c>
      <c r="B8" s="107">
        <v>46104</v>
      </c>
      <c r="C8" s="108" t="s">
        <v>1</v>
      </c>
      <c r="D8" s="106" t="s">
        <v>93</v>
      </c>
      <c r="E8" s="106" t="s">
        <v>46</v>
      </c>
      <c r="F8" s="109">
        <v>80</v>
      </c>
      <c r="G8" s="109">
        <v>550</v>
      </c>
      <c r="H8" s="109">
        <v>0</v>
      </c>
      <c r="I8" s="109">
        <v>30</v>
      </c>
      <c r="J8" s="111" t="str">
        <f t="shared" si="0"/>
        <v>EVT-0002|2026-03-23|Model|BUY|SYN_BANK|80.|550.|0.|30.</v>
      </c>
      <c r="K8" s="112" t="str">
        <f>IF(COUNTIFS(Ledger!$A$7:$A$1006,A8,Ledger!$T$7:$T$1006,J8)=1,"Loaded","Refresh required")</f>
        <v>Loaded</v>
      </c>
    </row>
    <row r="9" spans="1:20" ht="25.05" customHeight="1" x14ac:dyDescent="0.3">
      <c r="A9" s="106" t="s">
        <v>94</v>
      </c>
      <c r="B9" s="107">
        <v>46104</v>
      </c>
      <c r="C9" s="108" t="s">
        <v>1</v>
      </c>
      <c r="D9" s="106" t="s">
        <v>93</v>
      </c>
      <c r="E9" s="106" t="s">
        <v>49</v>
      </c>
      <c r="F9" s="109">
        <v>100</v>
      </c>
      <c r="G9" s="109">
        <v>1200</v>
      </c>
      <c r="H9" s="109">
        <v>0</v>
      </c>
      <c r="I9" s="109">
        <v>30</v>
      </c>
      <c r="J9" s="71" t="str">
        <f t="shared" si="0"/>
        <v>EVT-0003|2026-03-23|Model|BUY|SYN_TECH|100.|1200.|0.|30.</v>
      </c>
      <c r="K9" s="110" t="str">
        <f>IF(COUNTIFS(Ledger!$A$7:$A$1006,A9,Ledger!$T$7:$T$1006,J9)=1,"Loaded","Refresh required")</f>
        <v>Loaded</v>
      </c>
    </row>
    <row r="10" spans="1:20" ht="25.05" customHeight="1" x14ac:dyDescent="0.3">
      <c r="A10" s="106" t="s">
        <v>95</v>
      </c>
      <c r="B10" s="107">
        <v>46104</v>
      </c>
      <c r="C10" s="108" t="s">
        <v>1</v>
      </c>
      <c r="D10" s="106" t="s">
        <v>93</v>
      </c>
      <c r="E10" s="106" t="s">
        <v>52</v>
      </c>
      <c r="F10" s="109">
        <v>70</v>
      </c>
      <c r="G10" s="109">
        <v>850</v>
      </c>
      <c r="H10" s="109">
        <v>0</v>
      </c>
      <c r="I10" s="109">
        <v>30</v>
      </c>
      <c r="J10" s="111" t="str">
        <f t="shared" si="0"/>
        <v>EVT-0004|2026-03-23|Model|BUY|SYN_HEALTH|70.|850.|0.|30.</v>
      </c>
      <c r="K10" s="112" t="str">
        <f>IF(COUNTIFS(Ledger!$A$7:$A$1006,A10,Ledger!$T$7:$T$1006,J10)=1,"Loaded","Refresh required")</f>
        <v>Loaded</v>
      </c>
    </row>
    <row r="11" spans="1:20" ht="25.05" customHeight="1" x14ac:dyDescent="0.3">
      <c r="A11" s="106" t="s">
        <v>96</v>
      </c>
      <c r="B11" s="107">
        <v>46104</v>
      </c>
      <c r="C11" s="108" t="s">
        <v>1</v>
      </c>
      <c r="D11" s="106" t="s">
        <v>93</v>
      </c>
      <c r="E11" s="106" t="s">
        <v>55</v>
      </c>
      <c r="F11" s="109">
        <v>180</v>
      </c>
      <c r="G11" s="109">
        <v>430</v>
      </c>
      <c r="H11" s="109">
        <v>0</v>
      </c>
      <c r="I11" s="109">
        <v>30</v>
      </c>
      <c r="J11" s="71" t="str">
        <f t="shared" si="0"/>
        <v>EVT-0005|2026-03-23|Model|BUY|SYN_INDUSTRY|180.|430.|0.|30.</v>
      </c>
      <c r="K11" s="110" t="str">
        <f>IF(COUNTIFS(Ledger!$A$7:$A$1006,A11,Ledger!$T$7:$T$1006,J11)=1,"Loaded","Refresh required")</f>
        <v>Loaded</v>
      </c>
    </row>
    <row r="12" spans="1:20" ht="25.05" customHeight="1" x14ac:dyDescent="0.3">
      <c r="A12" s="106" t="s">
        <v>97</v>
      </c>
      <c r="B12" s="107">
        <v>46104</v>
      </c>
      <c r="C12" s="108" t="s">
        <v>1</v>
      </c>
      <c r="D12" s="106" t="s">
        <v>93</v>
      </c>
      <c r="E12" s="106" t="s">
        <v>58</v>
      </c>
      <c r="F12" s="109">
        <v>400</v>
      </c>
      <c r="G12" s="109">
        <v>250</v>
      </c>
      <c r="H12" s="109">
        <v>0</v>
      </c>
      <c r="I12" s="109">
        <v>30</v>
      </c>
      <c r="J12" s="111" t="str">
        <f t="shared" si="0"/>
        <v>EVT-0006|2026-03-23|Model|BUY|SYN_BROAD_ETF|400.|250.|0.|30.</v>
      </c>
      <c r="K12" s="112" t="str">
        <f>IF(COUNTIFS(Ledger!$A$7:$A$1006,A12,Ledger!$T$7:$T$1006,J12)=1,"Loaded","Refresh required")</f>
        <v>Loaded</v>
      </c>
    </row>
    <row r="13" spans="1:20" ht="25.05" customHeight="1" x14ac:dyDescent="0.3">
      <c r="A13" s="106" t="s">
        <v>98</v>
      </c>
      <c r="B13" s="107">
        <v>46104</v>
      </c>
      <c r="C13" s="108" t="s">
        <v>1</v>
      </c>
      <c r="D13" s="106" t="s">
        <v>93</v>
      </c>
      <c r="E13" s="106" t="s">
        <v>61</v>
      </c>
      <c r="F13" s="109">
        <v>600</v>
      </c>
      <c r="G13" s="109">
        <v>100</v>
      </c>
      <c r="H13" s="109">
        <v>0</v>
      </c>
      <c r="I13" s="109">
        <v>30</v>
      </c>
      <c r="J13" s="71" t="str">
        <f t="shared" si="0"/>
        <v>EVT-0007|2026-03-23|Model|BUY|SYN_BOND_ETF|600.|100.|0.|30.</v>
      </c>
      <c r="K13" s="110" t="str">
        <f>IF(COUNTIFS(Ledger!$A$7:$A$1006,A13,Ledger!$T$7:$T$1006,J13)=1,"Loaded","Refresh required")</f>
        <v>Loaded</v>
      </c>
    </row>
    <row r="14" spans="1:20" ht="25.05" customHeight="1" x14ac:dyDescent="0.3">
      <c r="A14" s="106" t="s">
        <v>99</v>
      </c>
      <c r="B14" s="107">
        <v>46104</v>
      </c>
      <c r="C14" s="108" t="s">
        <v>100</v>
      </c>
      <c r="D14" s="106" t="s">
        <v>90</v>
      </c>
      <c r="E14" s="106" t="s">
        <v>91</v>
      </c>
      <c r="F14" s="109">
        <v>0</v>
      </c>
      <c r="G14" s="109">
        <v>0</v>
      </c>
      <c r="H14" s="109">
        <v>250000</v>
      </c>
      <c r="I14" s="109">
        <v>0</v>
      </c>
      <c r="J14" s="111" t="str">
        <f t="shared" si="0"/>
        <v>EVT-0008|2026-03-23|Practice|DEPOSIT|CASH|0.|0.|250000.|0.</v>
      </c>
      <c r="K14" s="112" t="str">
        <f>IF(COUNTIFS(Ledger!$A$7:$A$1006,A14,Ledger!$T$7:$T$1006,J14)=1,"Loaded","Refresh required")</f>
        <v>Loaded</v>
      </c>
    </row>
    <row r="15" spans="1:20" ht="25.05" customHeight="1" x14ac:dyDescent="0.3">
      <c r="A15" s="106" t="s">
        <v>101</v>
      </c>
      <c r="B15" s="107">
        <v>46104</v>
      </c>
      <c r="C15" s="108" t="s">
        <v>100</v>
      </c>
      <c r="D15" s="106" t="s">
        <v>93</v>
      </c>
      <c r="E15" s="106" t="s">
        <v>46</v>
      </c>
      <c r="F15" s="109">
        <v>40</v>
      </c>
      <c r="G15" s="109">
        <v>550</v>
      </c>
      <c r="H15" s="109">
        <v>0</v>
      </c>
      <c r="I15" s="109">
        <v>15</v>
      </c>
      <c r="J15" s="71" t="str">
        <f t="shared" si="0"/>
        <v>EVT-0009|2026-03-23|Practice|BUY|SYN_BANK|40.|550.|0.|15.</v>
      </c>
      <c r="K15" s="110" t="str">
        <f>IF(COUNTIFS(Ledger!$A$7:$A$1006,A15,Ledger!$T$7:$T$1006,J15)=1,"Loaded","Refresh required")</f>
        <v>Loaded</v>
      </c>
    </row>
    <row r="16" spans="1:20" ht="25.05" customHeight="1" x14ac:dyDescent="0.3">
      <c r="A16" s="106" t="s">
        <v>102</v>
      </c>
      <c r="B16" s="107">
        <v>46104</v>
      </c>
      <c r="C16" s="108" t="s">
        <v>100</v>
      </c>
      <c r="D16" s="106" t="s">
        <v>93</v>
      </c>
      <c r="E16" s="106" t="s">
        <v>49</v>
      </c>
      <c r="F16" s="109">
        <v>50</v>
      </c>
      <c r="G16" s="109">
        <v>1200</v>
      </c>
      <c r="H16" s="109">
        <v>0</v>
      </c>
      <c r="I16" s="109">
        <v>15</v>
      </c>
      <c r="J16" s="111" t="str">
        <f t="shared" si="0"/>
        <v>EVT-0010|2026-03-23|Practice|BUY|SYN_TECH|50.|1200.|0.|15.</v>
      </c>
      <c r="K16" s="112" t="str">
        <f>IF(COUNTIFS(Ledger!$A$7:$A$1006,A16,Ledger!$T$7:$T$1006,J16)=1,"Loaded","Refresh required")</f>
        <v>Loaded</v>
      </c>
    </row>
    <row r="17" spans="1:11" ht="25.05" customHeight="1" x14ac:dyDescent="0.3">
      <c r="A17" s="106" t="s">
        <v>103</v>
      </c>
      <c r="B17" s="107">
        <v>46104</v>
      </c>
      <c r="C17" s="108" t="s">
        <v>100</v>
      </c>
      <c r="D17" s="106" t="s">
        <v>93</v>
      </c>
      <c r="E17" s="106" t="s">
        <v>52</v>
      </c>
      <c r="F17" s="109">
        <v>35</v>
      </c>
      <c r="G17" s="109">
        <v>850</v>
      </c>
      <c r="H17" s="109">
        <v>0</v>
      </c>
      <c r="I17" s="109">
        <v>15</v>
      </c>
      <c r="J17" s="71" t="str">
        <f t="shared" si="0"/>
        <v>EVT-0011|2026-03-23|Practice|BUY|SYN_HEALTH|35.|850.|0.|15.</v>
      </c>
      <c r="K17" s="110" t="str">
        <f>IF(COUNTIFS(Ledger!$A$7:$A$1006,A17,Ledger!$T$7:$T$1006,J17)=1,"Loaded","Refresh required")</f>
        <v>Loaded</v>
      </c>
    </row>
    <row r="18" spans="1:11" ht="25.05" customHeight="1" x14ac:dyDescent="0.3">
      <c r="A18" s="106" t="s">
        <v>104</v>
      </c>
      <c r="B18" s="107">
        <v>46104</v>
      </c>
      <c r="C18" s="108" t="s">
        <v>100</v>
      </c>
      <c r="D18" s="106" t="s">
        <v>93</v>
      </c>
      <c r="E18" s="106" t="s">
        <v>55</v>
      </c>
      <c r="F18" s="109">
        <v>90</v>
      </c>
      <c r="G18" s="109">
        <v>430</v>
      </c>
      <c r="H18" s="109">
        <v>0</v>
      </c>
      <c r="I18" s="109">
        <v>15</v>
      </c>
      <c r="J18" s="111" t="str">
        <f t="shared" si="0"/>
        <v>EVT-0012|2026-03-23|Practice|BUY|SYN_INDUSTRY|90.|430.|0.|15.</v>
      </c>
      <c r="K18" s="112" t="str">
        <f>IF(COUNTIFS(Ledger!$A$7:$A$1006,A18,Ledger!$T$7:$T$1006,J18)=1,"Loaded","Refresh required")</f>
        <v>Loaded</v>
      </c>
    </row>
    <row r="19" spans="1:11" ht="25.05" customHeight="1" x14ac:dyDescent="0.3">
      <c r="A19" s="106" t="s">
        <v>105</v>
      </c>
      <c r="B19" s="107">
        <v>46104</v>
      </c>
      <c r="C19" s="108" t="s">
        <v>100</v>
      </c>
      <c r="D19" s="106" t="s">
        <v>93</v>
      </c>
      <c r="E19" s="106" t="s">
        <v>58</v>
      </c>
      <c r="F19" s="109">
        <v>200</v>
      </c>
      <c r="G19" s="109">
        <v>250</v>
      </c>
      <c r="H19" s="109">
        <v>0</v>
      </c>
      <c r="I19" s="109">
        <v>15</v>
      </c>
      <c r="J19" s="71" t="str">
        <f t="shared" si="0"/>
        <v>EVT-0013|2026-03-23|Practice|BUY|SYN_BROAD_ETF|200.|250.|0.|15.</v>
      </c>
      <c r="K19" s="110" t="str">
        <f>IF(COUNTIFS(Ledger!$A$7:$A$1006,A19,Ledger!$T$7:$T$1006,J19)=1,"Loaded","Refresh required")</f>
        <v>Loaded</v>
      </c>
    </row>
    <row r="20" spans="1:11" ht="25.05" customHeight="1" x14ac:dyDescent="0.3">
      <c r="A20" s="106" t="s">
        <v>106</v>
      </c>
      <c r="B20" s="107">
        <v>46104</v>
      </c>
      <c r="C20" s="108" t="s">
        <v>100</v>
      </c>
      <c r="D20" s="106" t="s">
        <v>93</v>
      </c>
      <c r="E20" s="106" t="s">
        <v>61</v>
      </c>
      <c r="F20" s="109">
        <v>300</v>
      </c>
      <c r="G20" s="109">
        <v>100</v>
      </c>
      <c r="H20" s="109">
        <v>0</v>
      </c>
      <c r="I20" s="109">
        <v>15</v>
      </c>
      <c r="J20" s="111" t="str">
        <f t="shared" si="0"/>
        <v>EVT-0014|2026-03-23|Practice|BUY|SYN_BOND_ETF|300.|100.|0.|15.</v>
      </c>
      <c r="K20" s="112" t="str">
        <f>IF(COUNTIFS(Ledger!$A$7:$A$1006,A20,Ledger!$T$7:$T$1006,J20)=1,"Loaded","Refresh required")</f>
        <v>Loaded</v>
      </c>
    </row>
    <row r="21" spans="1:11" ht="25.05" customHeight="1" x14ac:dyDescent="0.3">
      <c r="A21" s="106" t="s">
        <v>107</v>
      </c>
      <c r="B21" s="107">
        <v>46139</v>
      </c>
      <c r="C21" s="108" t="s">
        <v>1</v>
      </c>
      <c r="D21" s="106" t="s">
        <v>90</v>
      </c>
      <c r="E21" s="106" t="s">
        <v>91</v>
      </c>
      <c r="F21" s="109">
        <v>0</v>
      </c>
      <c r="G21" s="109">
        <v>0</v>
      </c>
      <c r="H21" s="109">
        <v>50000</v>
      </c>
      <c r="I21" s="109">
        <v>0</v>
      </c>
      <c r="J21" s="71" t="str">
        <f t="shared" si="0"/>
        <v>EVT-0015|2026-04-27|Model|DEPOSIT|CASH|0.|0.|50000.|0.</v>
      </c>
      <c r="K21" s="110" t="str">
        <f>IF(COUNTIFS(Ledger!$A$7:$A$1006,A21,Ledger!$T$7:$T$1006,J21)=1,"Loaded","Refresh required")</f>
        <v>Loaded</v>
      </c>
    </row>
    <row r="22" spans="1:11" ht="25.05" customHeight="1" x14ac:dyDescent="0.3">
      <c r="A22" s="106" t="s">
        <v>108</v>
      </c>
      <c r="B22" s="107">
        <v>46141</v>
      </c>
      <c r="C22" s="108" t="s">
        <v>1</v>
      </c>
      <c r="D22" s="106" t="s">
        <v>93</v>
      </c>
      <c r="E22" s="106" t="s">
        <v>46</v>
      </c>
      <c r="F22" s="109">
        <v>20</v>
      </c>
      <c r="G22" s="109">
        <v>518.53510000000006</v>
      </c>
      <c r="H22" s="109">
        <v>0</v>
      </c>
      <c r="I22" s="109">
        <v>20</v>
      </c>
      <c r="J22" s="111" t="str">
        <f t="shared" si="0"/>
        <v>EVT-0016|2026-04-29|Model|BUY|SYN_BANK|20.|518.5351|0.|20.</v>
      </c>
      <c r="K22" s="112" t="str">
        <f>IF(COUNTIFS(Ledger!$A$7:$A$1006,A22,Ledger!$T$7:$T$1006,J22)=1,"Loaded","Refresh required")</f>
        <v>Loaded</v>
      </c>
    </row>
    <row r="23" spans="1:11" ht="25.05" customHeight="1" x14ac:dyDescent="0.3">
      <c r="A23" s="106" t="s">
        <v>109</v>
      </c>
      <c r="B23" s="107">
        <v>46147</v>
      </c>
      <c r="C23" s="108" t="s">
        <v>100</v>
      </c>
      <c r="D23" s="106" t="s">
        <v>90</v>
      </c>
      <c r="E23" s="106" t="s">
        <v>91</v>
      </c>
      <c r="F23" s="109">
        <v>0</v>
      </c>
      <c r="G23" s="109">
        <v>0</v>
      </c>
      <c r="H23" s="109">
        <v>25000</v>
      </c>
      <c r="I23" s="109">
        <v>0</v>
      </c>
      <c r="J23" s="71" t="str">
        <f t="shared" si="0"/>
        <v>EVT-0017|2026-05-05|Practice|DEPOSIT|CASH|0.|0.|25000.|0.</v>
      </c>
      <c r="K23" s="110" t="str">
        <f>IF(COUNTIFS(Ledger!$A$7:$A$1006,A23,Ledger!$T$7:$T$1006,J23)=1,"Loaded","Refresh required")</f>
        <v>Loaded</v>
      </c>
    </row>
    <row r="24" spans="1:11" ht="25.05" customHeight="1" x14ac:dyDescent="0.3">
      <c r="A24" s="106" t="s">
        <v>110</v>
      </c>
      <c r="B24" s="107">
        <v>46150</v>
      </c>
      <c r="C24" s="108" t="s">
        <v>100</v>
      </c>
      <c r="D24" s="106" t="s">
        <v>93</v>
      </c>
      <c r="E24" s="106" t="s">
        <v>46</v>
      </c>
      <c r="F24" s="109">
        <v>10</v>
      </c>
      <c r="G24" s="109">
        <v>508.28710000000001</v>
      </c>
      <c r="H24" s="109">
        <v>0</v>
      </c>
      <c r="I24" s="109">
        <v>15</v>
      </c>
      <c r="J24" s="111" t="str">
        <f t="shared" si="0"/>
        <v>EVT-0018|2026-05-08|Practice|BUY|SYN_BANK|10.|508.2871|0.|15.</v>
      </c>
      <c r="K24" s="112" t="str">
        <f>IF(COUNTIFS(Ledger!$A$7:$A$1006,A24,Ledger!$T$7:$T$1006,J24)=1,"Loaded","Refresh required")</f>
        <v>Loaded</v>
      </c>
    </row>
    <row r="25" spans="1:11" ht="25.05" customHeight="1" x14ac:dyDescent="0.3">
      <c r="A25" s="106" t="s">
        <v>111</v>
      </c>
      <c r="B25" s="107">
        <v>46160</v>
      </c>
      <c r="C25" s="108" t="s">
        <v>1</v>
      </c>
      <c r="D25" s="106" t="s">
        <v>93</v>
      </c>
      <c r="E25" s="106" t="s">
        <v>58</v>
      </c>
      <c r="F25" s="109">
        <v>80</v>
      </c>
      <c r="G25" s="109">
        <v>248.11279999999999</v>
      </c>
      <c r="H25" s="109">
        <v>0</v>
      </c>
      <c r="I25" s="109">
        <v>20</v>
      </c>
      <c r="J25" s="71" t="str">
        <f t="shared" si="0"/>
        <v>EVT-0019|2026-05-18|Model|BUY|SYN_BROAD_ETF|80.|248.1128|0.|20.</v>
      </c>
      <c r="K25" s="110" t="str">
        <f>IF(COUNTIFS(Ledger!$A$7:$A$1006,A25,Ledger!$T$7:$T$1006,J25)=1,"Loaded","Refresh required")</f>
        <v>Loaded</v>
      </c>
    </row>
    <row r="26" spans="1:11" ht="25.05" customHeight="1" x14ac:dyDescent="0.3">
      <c r="A26" s="106" t="s">
        <v>112</v>
      </c>
      <c r="B26" s="107">
        <v>46162</v>
      </c>
      <c r="C26" s="108" t="s">
        <v>100</v>
      </c>
      <c r="D26" s="106" t="s">
        <v>93</v>
      </c>
      <c r="E26" s="106" t="s">
        <v>58</v>
      </c>
      <c r="F26" s="109">
        <v>40</v>
      </c>
      <c r="G26" s="109">
        <v>247.93969999999999</v>
      </c>
      <c r="H26" s="109">
        <v>0</v>
      </c>
      <c r="I26" s="109">
        <v>15</v>
      </c>
      <c r="J26" s="111" t="str">
        <f t="shared" si="0"/>
        <v>EVT-0020|2026-05-20|Practice|BUY|SYN_BROAD_ETF|40.|247.9397|0.|15.</v>
      </c>
      <c r="K26" s="112" t="str">
        <f>IF(COUNTIFS(Ledger!$A$7:$A$1006,A26,Ledger!$T$7:$T$1006,J26)=1,"Loaded","Refresh required")</f>
        <v>Loaded</v>
      </c>
    </row>
    <row r="27" spans="1:11" ht="25.05" customHeight="1" x14ac:dyDescent="0.3">
      <c r="A27" s="106" t="s">
        <v>113</v>
      </c>
      <c r="B27" s="107">
        <v>46177</v>
      </c>
      <c r="C27" s="108" t="s">
        <v>1</v>
      </c>
      <c r="D27" s="106" t="s">
        <v>114</v>
      </c>
      <c r="E27" s="106" t="s">
        <v>55</v>
      </c>
      <c r="F27" s="109">
        <v>50</v>
      </c>
      <c r="G27" s="109">
        <v>410.0675</v>
      </c>
      <c r="H27" s="109">
        <v>0</v>
      </c>
      <c r="I27" s="109">
        <v>25</v>
      </c>
      <c r="J27" s="71" t="str">
        <f t="shared" si="0"/>
        <v>EVT-0021|2026-06-04|Model|SELL|SYN_INDUSTRY|50.|410.0675|0.|25.</v>
      </c>
      <c r="K27" s="110" t="str">
        <f>IF(COUNTIFS(Ledger!$A$7:$A$1006,A27,Ledger!$T$7:$T$1006,J27)=1,"Loaded","Refresh required")</f>
        <v>Loaded</v>
      </c>
    </row>
    <row r="28" spans="1:11" ht="25.05" customHeight="1" x14ac:dyDescent="0.3">
      <c r="A28" s="106" t="s">
        <v>115</v>
      </c>
      <c r="B28" s="107">
        <v>46188</v>
      </c>
      <c r="C28" s="108" t="s">
        <v>100</v>
      </c>
      <c r="D28" s="106" t="s">
        <v>114</v>
      </c>
      <c r="E28" s="106" t="s">
        <v>55</v>
      </c>
      <c r="F28" s="109">
        <v>20</v>
      </c>
      <c r="G28" s="109">
        <v>417.55799999999999</v>
      </c>
      <c r="H28" s="109">
        <v>0</v>
      </c>
      <c r="I28" s="109">
        <v>15</v>
      </c>
      <c r="J28" s="111" t="str">
        <f t="shared" si="0"/>
        <v>EVT-0022|2026-06-15|Practice|SELL|SYN_INDUSTRY|20.|417.558|0.|15.</v>
      </c>
      <c r="K28" s="112" t="str">
        <f>IF(COUNTIFS(Ledger!$A$7:$A$1006,A28,Ledger!$T$7:$T$1006,J28)=1,"Loaded","Refresh required")</f>
        <v>Loaded</v>
      </c>
    </row>
    <row r="29" spans="1:11" ht="25.05" customHeight="1" x14ac:dyDescent="0.3">
      <c r="A29" s="106" t="s">
        <v>116</v>
      </c>
      <c r="B29" s="107">
        <v>46195</v>
      </c>
      <c r="C29" s="108" t="s">
        <v>1</v>
      </c>
      <c r="D29" s="106" t="s">
        <v>117</v>
      </c>
      <c r="E29" s="106" t="s">
        <v>49</v>
      </c>
      <c r="F29" s="109">
        <v>100</v>
      </c>
      <c r="G29" s="109">
        <v>0</v>
      </c>
      <c r="H29" s="109">
        <v>0</v>
      </c>
      <c r="I29" s="109">
        <v>0</v>
      </c>
      <c r="J29" s="71" t="str">
        <f t="shared" si="0"/>
        <v>EVT-0023|2026-06-22|Model|SPLIT|SYN_TECH|100.|0.|0.|0.</v>
      </c>
      <c r="K29" s="110" t="str">
        <f>IF(COUNTIFS(Ledger!$A$7:$A$1006,A29,Ledger!$T$7:$T$1006,J29)=1,"Loaded","Refresh required")</f>
        <v>Loaded</v>
      </c>
    </row>
    <row r="30" spans="1:11" ht="25.05" customHeight="1" x14ac:dyDescent="0.3">
      <c r="A30" s="106" t="s">
        <v>118</v>
      </c>
      <c r="B30" s="107">
        <v>46195</v>
      </c>
      <c r="C30" s="108" t="s">
        <v>100</v>
      </c>
      <c r="D30" s="106" t="s">
        <v>117</v>
      </c>
      <c r="E30" s="106" t="s">
        <v>49</v>
      </c>
      <c r="F30" s="109">
        <v>50</v>
      </c>
      <c r="G30" s="109">
        <v>0</v>
      </c>
      <c r="H30" s="109">
        <v>0</v>
      </c>
      <c r="I30" s="109">
        <v>0</v>
      </c>
      <c r="J30" s="111" t="str">
        <f t="shared" si="0"/>
        <v>EVT-0024|2026-06-22|Practice|SPLIT|SYN_TECH|50.|0.|0.|0.</v>
      </c>
      <c r="K30" s="112" t="str">
        <f>IF(COUNTIFS(Ledger!$A$7:$A$1006,A30,Ledger!$T$7:$T$1006,J30)=1,"Loaded","Refresh required")</f>
        <v>Loaded</v>
      </c>
    </row>
    <row r="31" spans="1:11" ht="25.05" customHeight="1" x14ac:dyDescent="0.3">
      <c r="A31" s="106" t="s">
        <v>119</v>
      </c>
      <c r="B31" s="107">
        <v>46210</v>
      </c>
      <c r="C31" s="108" t="s">
        <v>1</v>
      </c>
      <c r="D31" s="106" t="s">
        <v>93</v>
      </c>
      <c r="E31" s="106" t="s">
        <v>52</v>
      </c>
      <c r="F31" s="109">
        <v>10</v>
      </c>
      <c r="G31" s="109">
        <v>875.21609999999998</v>
      </c>
      <c r="H31" s="109">
        <v>0</v>
      </c>
      <c r="I31" s="109">
        <v>20</v>
      </c>
      <c r="J31" s="71" t="str">
        <f t="shared" si="0"/>
        <v>EVT-0025|2026-07-07|Model|BUY|SYN_HEALTH|10.|875.2161|0.|20.</v>
      </c>
      <c r="K31" s="110" t="str">
        <f>IF(COUNTIFS(Ledger!$A$7:$A$1006,A31,Ledger!$T$7:$T$1006,J31)=1,"Loaded","Refresh required")</f>
        <v>Loaded</v>
      </c>
    </row>
    <row r="32" spans="1:11" ht="25.05" customHeight="1" x14ac:dyDescent="0.3">
      <c r="A32" s="106" t="s">
        <v>120</v>
      </c>
      <c r="B32" s="107">
        <v>46213</v>
      </c>
      <c r="C32" s="108" t="s">
        <v>100</v>
      </c>
      <c r="D32" s="106" t="s">
        <v>93</v>
      </c>
      <c r="E32" s="106" t="s">
        <v>52</v>
      </c>
      <c r="F32" s="109">
        <v>5</v>
      </c>
      <c r="G32" s="109">
        <v>892.71820000000002</v>
      </c>
      <c r="H32" s="109">
        <v>0</v>
      </c>
      <c r="I32" s="109">
        <v>15</v>
      </c>
      <c r="J32" s="111" t="str">
        <f t="shared" si="0"/>
        <v>EVT-0026|2026-07-10|Practice|BUY|SYN_HEALTH|5.|892.7182|0.|15.</v>
      </c>
      <c r="K32" s="112" t="str">
        <f>IF(COUNTIFS(Ledger!$A$7:$A$1006,A32,Ledger!$T$7:$T$1006,J32)=1,"Loaded","Refresh required")</f>
        <v>Loaded</v>
      </c>
    </row>
    <row r="33" spans="1:11" ht="25.05" customHeight="1" x14ac:dyDescent="0.3">
      <c r="A33" s="106" t="s">
        <v>121</v>
      </c>
      <c r="B33" s="107">
        <v>46227</v>
      </c>
      <c r="C33" s="108" t="s">
        <v>1</v>
      </c>
      <c r="D33" s="106" t="s">
        <v>122</v>
      </c>
      <c r="E33" s="106" t="s">
        <v>52</v>
      </c>
      <c r="F33" s="109">
        <v>0</v>
      </c>
      <c r="G33" s="109">
        <v>0</v>
      </c>
      <c r="H33" s="109">
        <v>100</v>
      </c>
      <c r="I33" s="109">
        <v>0</v>
      </c>
      <c r="J33" s="71" t="str">
        <f t="shared" si="0"/>
        <v>EVT-0027|2026-07-24|Model|DIVIDEND|SYN_HEALTH|0.|0.|100.|0.</v>
      </c>
      <c r="K33" s="110" t="str">
        <f>IF(COUNTIFS(Ledger!$A$7:$A$1006,A33,Ledger!$T$7:$T$1006,J33)=1,"Loaded","Refresh required")</f>
        <v>Loaded</v>
      </c>
    </row>
    <row r="34" spans="1:11" ht="25.05" customHeight="1" x14ac:dyDescent="0.3">
      <c r="A34" s="106" t="s">
        <v>123</v>
      </c>
      <c r="B34" s="107">
        <v>46227</v>
      </c>
      <c r="C34" s="108" t="s">
        <v>100</v>
      </c>
      <c r="D34" s="106" t="s">
        <v>122</v>
      </c>
      <c r="E34" s="106" t="s">
        <v>52</v>
      </c>
      <c r="F34" s="109">
        <v>0</v>
      </c>
      <c r="G34" s="109">
        <v>0</v>
      </c>
      <c r="H34" s="109">
        <v>50</v>
      </c>
      <c r="I34" s="109">
        <v>0</v>
      </c>
      <c r="J34" s="111" t="str">
        <f t="shared" si="0"/>
        <v>EVT-0028|2026-07-24|Practice|DIVIDEND|SYN_HEALTH|0.|0.|50.|0.</v>
      </c>
      <c r="K34" s="112" t="str">
        <f>IF(COUNTIFS(Ledger!$A$7:$A$1006,A34,Ledger!$T$7:$T$1006,J34)=1,"Loaded","Refresh required")</f>
        <v>Loaded</v>
      </c>
    </row>
    <row r="35" spans="1:11" ht="25.05" customHeight="1" x14ac:dyDescent="0.3">
      <c r="A35" s="106" t="s">
        <v>124</v>
      </c>
      <c r="B35" s="107">
        <v>46231</v>
      </c>
      <c r="C35" s="108" t="s">
        <v>1</v>
      </c>
      <c r="D35" s="106" t="s">
        <v>125</v>
      </c>
      <c r="E35" s="106" t="s">
        <v>91</v>
      </c>
      <c r="F35" s="109">
        <v>0</v>
      </c>
      <c r="G35" s="109">
        <v>0</v>
      </c>
      <c r="H35" s="109">
        <v>60</v>
      </c>
      <c r="I35" s="109">
        <v>0</v>
      </c>
      <c r="J35" s="71" t="str">
        <f t="shared" si="0"/>
        <v>EVT-0029|2026-07-28|Model|FEE|CASH|0.|0.|60.|0.</v>
      </c>
      <c r="K35" s="110" t="str">
        <f>IF(COUNTIFS(Ledger!$A$7:$A$1006,A35,Ledger!$T$7:$T$1006,J35)=1,"Loaded","Refresh required")</f>
        <v>Loaded</v>
      </c>
    </row>
    <row r="36" spans="1:11" ht="25.05" customHeight="1" x14ac:dyDescent="0.3">
      <c r="A36" s="106" t="s">
        <v>126</v>
      </c>
      <c r="B36" s="107">
        <v>46231</v>
      </c>
      <c r="C36" s="108" t="s">
        <v>100</v>
      </c>
      <c r="D36" s="106" t="s">
        <v>125</v>
      </c>
      <c r="E36" s="106" t="s">
        <v>91</v>
      </c>
      <c r="F36" s="109">
        <v>0</v>
      </c>
      <c r="G36" s="109">
        <v>0</v>
      </c>
      <c r="H36" s="109">
        <v>40</v>
      </c>
      <c r="I36" s="109">
        <v>0</v>
      </c>
      <c r="J36" s="111" t="str">
        <f t="shared" si="0"/>
        <v>EVT-0030|2026-07-28|Practice|FEE|CASH|0.|0.|40.|0.</v>
      </c>
      <c r="K36" s="112" t="str">
        <f>IF(COUNTIFS(Ledger!$A$7:$A$1006,A36,Ledger!$T$7:$T$1006,J36)=1,"Loaded","Refresh required")</f>
        <v>Loaded</v>
      </c>
    </row>
    <row r="37" spans="1:11" ht="25.05" customHeight="1" x14ac:dyDescent="0.3">
      <c r="A37" s="106" t="s">
        <v>127</v>
      </c>
      <c r="B37" s="107">
        <v>46234</v>
      </c>
      <c r="C37" s="108" t="s">
        <v>1</v>
      </c>
      <c r="D37" s="106" t="s">
        <v>128</v>
      </c>
      <c r="E37" s="106" t="s">
        <v>91</v>
      </c>
      <c r="F37" s="109">
        <v>0</v>
      </c>
      <c r="G37" s="109">
        <v>0</v>
      </c>
      <c r="H37" s="109">
        <v>15000</v>
      </c>
      <c r="I37" s="109">
        <v>0</v>
      </c>
      <c r="J37" s="71" t="str">
        <f t="shared" si="0"/>
        <v>EVT-0031|2026-07-31|Model|WITHDRAW|CASH|0.|0.|15000.|0.</v>
      </c>
      <c r="K37" s="110" t="str">
        <f>IF(COUNTIFS(Ledger!$A$7:$A$1006,A37,Ledger!$T$7:$T$1006,J37)=1,"Loaded","Refresh required")</f>
        <v>Loaded</v>
      </c>
    </row>
    <row r="38" spans="1:11" ht="25.05" customHeight="1" x14ac:dyDescent="0.3">
      <c r="A38" s="106" t="s">
        <v>129</v>
      </c>
      <c r="B38" s="107">
        <v>46239</v>
      </c>
      <c r="C38" s="108" t="s">
        <v>100</v>
      </c>
      <c r="D38" s="106" t="s">
        <v>128</v>
      </c>
      <c r="E38" s="106" t="s">
        <v>91</v>
      </c>
      <c r="F38" s="109">
        <v>0</v>
      </c>
      <c r="G38" s="109">
        <v>0</v>
      </c>
      <c r="H38" s="109">
        <v>7000</v>
      </c>
      <c r="I38" s="109">
        <v>0</v>
      </c>
      <c r="J38" s="111" t="str">
        <f t="shared" si="0"/>
        <v>EVT-0032|2026-08-05|Practice|WITHDRAW|CASH|0.|0.|7000.|0.</v>
      </c>
      <c r="K38" s="112" t="str">
        <f>IF(COUNTIFS(Ledger!$A$7:$A$1006,A38,Ledger!$T$7:$T$1006,J38)=1,"Loaded","Refresh required")</f>
        <v>Loaded</v>
      </c>
    </row>
    <row r="39" spans="1:11" ht="25.05" customHeight="1" x14ac:dyDescent="0.3">
      <c r="A39" s="106" t="s">
        <v>130</v>
      </c>
      <c r="B39" s="107">
        <v>46248</v>
      </c>
      <c r="C39" s="108" t="s">
        <v>1</v>
      </c>
      <c r="D39" s="106" t="s">
        <v>93</v>
      </c>
      <c r="E39" s="106" t="s">
        <v>49</v>
      </c>
      <c r="F39" s="109">
        <v>20</v>
      </c>
      <c r="G39" s="109">
        <v>573.14520000000005</v>
      </c>
      <c r="H39" s="109">
        <v>0</v>
      </c>
      <c r="I39" s="109">
        <v>20</v>
      </c>
      <c r="J39" s="71" t="str">
        <f t="shared" si="0"/>
        <v>EVT-0033|2026-08-14|Model|BUY|SYN_TECH|20.|573.1452|0.|20.</v>
      </c>
      <c r="K39" s="110" t="str">
        <f>IF(COUNTIFS(Ledger!$A$7:$A$1006,A39,Ledger!$T$7:$T$1006,J39)=1,"Loaded","Refresh required")</f>
        <v>Loaded</v>
      </c>
    </row>
    <row r="40" spans="1:11" ht="25.05" customHeight="1" x14ac:dyDescent="0.3">
      <c r="A40" s="106" t="s">
        <v>131</v>
      </c>
      <c r="B40" s="107">
        <v>46252</v>
      </c>
      <c r="C40" s="108" t="s">
        <v>100</v>
      </c>
      <c r="D40" s="106" t="s">
        <v>93</v>
      </c>
      <c r="E40" s="106" t="s">
        <v>49</v>
      </c>
      <c r="F40" s="109">
        <v>10</v>
      </c>
      <c r="G40" s="109">
        <v>560.47969999999998</v>
      </c>
      <c r="H40" s="109">
        <v>0</v>
      </c>
      <c r="I40" s="109">
        <v>15</v>
      </c>
      <c r="J40" s="111" t="str">
        <f t="shared" si="0"/>
        <v>EVT-0034|2026-08-18|Practice|BUY|SYN_TECH|10.|560.4797|0.|15.</v>
      </c>
      <c r="K40" s="112" t="str">
        <f>IF(COUNTIFS(Ledger!$A$7:$A$1006,A40,Ledger!$T$7:$T$1006,J40)=1,"Loaded","Refresh required")</f>
        <v>Loaded</v>
      </c>
    </row>
    <row r="41" spans="1:11" ht="25.05" customHeight="1" x14ac:dyDescent="0.3">
      <c r="A41" s="106" t="s">
        <v>132</v>
      </c>
      <c r="B41" s="107">
        <v>46265</v>
      </c>
      <c r="C41" s="108" t="s">
        <v>1</v>
      </c>
      <c r="D41" s="106" t="s">
        <v>114</v>
      </c>
      <c r="E41" s="106" t="s">
        <v>46</v>
      </c>
      <c r="F41" s="109">
        <v>10</v>
      </c>
      <c r="G41" s="109">
        <v>555.58169999999996</v>
      </c>
      <c r="H41" s="109">
        <v>0</v>
      </c>
      <c r="I41" s="109">
        <v>25</v>
      </c>
      <c r="J41" s="71" t="str">
        <f t="shared" si="0"/>
        <v>EVT-0035|2026-08-31|Model|SELL|SYN_BANK|10.|555.5817|0.|25.</v>
      </c>
      <c r="K41" s="110" t="str">
        <f>IF(COUNTIFS(Ledger!$A$7:$A$1006,A41,Ledger!$T$7:$T$1006,J41)=1,"Loaded","Refresh required")</f>
        <v>Loaded</v>
      </c>
    </row>
    <row r="42" spans="1:11" ht="25.05" customHeight="1" x14ac:dyDescent="0.3">
      <c r="A42" s="106" t="s">
        <v>133</v>
      </c>
      <c r="B42" s="107">
        <v>46268</v>
      </c>
      <c r="C42" s="108" t="s">
        <v>100</v>
      </c>
      <c r="D42" s="106" t="s">
        <v>114</v>
      </c>
      <c r="E42" s="106" t="s">
        <v>46</v>
      </c>
      <c r="F42" s="109">
        <v>5</v>
      </c>
      <c r="G42" s="109">
        <v>569.04150000000004</v>
      </c>
      <c r="H42" s="109">
        <v>0</v>
      </c>
      <c r="I42" s="109">
        <v>15</v>
      </c>
      <c r="J42" s="111" t="str">
        <f t="shared" si="0"/>
        <v>EVT-0036|2026-09-03|Practice|SELL|SYN_BANK|5.|569.0415|0.|15.</v>
      </c>
      <c r="K42" s="112" t="str">
        <f>IF(COUNTIFS(Ledger!$A$7:$A$1006,A42,Ledger!$T$7:$T$1006,J42)=1,"Loaded","Refresh required")</f>
        <v>Loaded</v>
      </c>
    </row>
    <row r="43" spans="1:11" ht="19.95" customHeight="1" x14ac:dyDescent="0.3">
      <c r="A43" s="71"/>
      <c r="B43" s="71"/>
      <c r="C43" s="71"/>
      <c r="D43" s="71"/>
      <c r="E43" s="71"/>
      <c r="F43" s="71"/>
      <c r="G43" s="71"/>
      <c r="H43" s="71"/>
      <c r="I43" s="71"/>
      <c r="J43" s="71"/>
    </row>
    <row r="44" spans="1:11" ht="19.95" customHeight="1" x14ac:dyDescent="0.3">
      <c r="A44" s="71"/>
      <c r="B44" s="71"/>
      <c r="C44" s="71"/>
      <c r="D44" s="71"/>
      <c r="E44" s="71"/>
      <c r="F44" s="71"/>
      <c r="G44" s="71"/>
      <c r="H44" s="71"/>
      <c r="I44" s="71"/>
      <c r="J44" s="71"/>
    </row>
    <row r="45" spans="1:11" ht="19.95" customHeight="1" x14ac:dyDescent="0.3">
      <c r="A45" s="71"/>
      <c r="B45" s="71"/>
      <c r="C45" s="71"/>
      <c r="D45" s="71"/>
      <c r="E45" s="71"/>
      <c r="F45" s="71"/>
      <c r="G45" s="71"/>
      <c r="H45" s="71"/>
      <c r="I45" s="71"/>
      <c r="J45" s="71"/>
    </row>
    <row r="46" spans="1:11" ht="19.95" customHeight="1" x14ac:dyDescent="0.3">
      <c r="A46" s="71"/>
      <c r="B46" s="71"/>
      <c r="C46" s="71"/>
      <c r="D46" s="71"/>
      <c r="E46" s="71"/>
      <c r="F46" s="71"/>
      <c r="G46" s="71"/>
      <c r="H46" s="71"/>
      <c r="I46" s="71"/>
      <c r="J46" s="71"/>
    </row>
  </sheetData>
  <mergeCells count="1">
    <mergeCell ref="A2:K2"/>
  </mergeCells>
  <dataValidations count="3">
    <dataValidation type="list" sqref="C7:C1006" xr:uid="{00000000-0002-0000-0500-000000000000}">
      <formula1>"Model,Practice"</formula1>
    </dataValidation>
    <dataValidation type="list" sqref="D7:D1006" xr:uid="{00000000-0002-0000-0500-000001000000}">
      <formula1>"DEPOSIT,WITHDRAW,BUY,SELL,DIVIDEND,FEE,SPLIT,BONUS"</formula1>
    </dataValidation>
    <dataValidation type="list" sqref="E7:E1006" xr:uid="{00000000-0002-0000-0500-000002000000}">
      <formula1>"SYN_BANK,SYN_TECH,SYN_HEALTH,SYN_INDUSTRY,SYN_BROAD_ETF,SYN_BOND_ETF,CASH"</formula1>
    </dataValidation>
  </dataValidations>
  <hyperlinks>
    <hyperlink ref="A3" location="'Watchlist'!A1" tooltip="Watchlist" display="Watchlist" xr:uid="{39CE7C9F-B453-44D0-A221-F7AF7060E415}"/>
    <hyperlink ref="D3" location="'Holdings'!A1" tooltip="Holdings" display="Holdings" xr:uid="{EAA6AF95-9469-4BD2-9B39-CBC9D831FECA}"/>
    <hyperlink ref="F3" location="'Portfolio'!A1" tooltip="Portfolio" display="Portfolio" xr:uid="{50F59D0C-40B6-4F0D-81E3-155F28FCA0DE}"/>
    <hyperlink ref="I3" location="'Help'!A1" tooltip="Help" display="Help" xr:uid="{1374CEAA-4982-4A9B-80EB-9BF079786467}"/>
  </hyperlinks>
  <pageMargins left="0.27777777777777779" right="0.27777777777777779" top="0.27777777777777779" bottom="0.27777777777777779" header="0.3" footer="0.3"/>
  <pageSetup paperSize="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3C5A"/>
    <pageSetUpPr fitToPage="1"/>
  </sheetPr>
  <dimension ref="A1:W65"/>
  <sheetViews>
    <sheetView showGridLines="0" zoomScaleNormal="100" workbookViewId="0"/>
  </sheetViews>
  <sheetFormatPr defaultRowHeight="14.4" x14ac:dyDescent="0.3"/>
  <cols>
    <col min="1" max="2" width="21" customWidth="1"/>
    <col min="3" max="5" width="13" customWidth="1"/>
    <col min="6" max="6" width="26" customWidth="1"/>
    <col min="7" max="8" width="18" customWidth="1"/>
    <col min="9" max="10" width="13" customWidth="1"/>
    <col min="11" max="11" width="23" customWidth="1"/>
    <col min="12" max="16" width="13" customWidth="1"/>
    <col min="18" max="26" width="0" hidden="1" customWidth="1"/>
  </cols>
  <sheetData>
    <row r="1" spans="1:23" ht="19.95" customHeight="1" x14ac:dyDescent="0.3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R1" s="15"/>
      <c r="S1" s="15"/>
      <c r="T1" s="15"/>
      <c r="U1" s="15"/>
      <c r="V1" s="15"/>
      <c r="W1" s="15"/>
    </row>
    <row r="2" spans="1:23" ht="36" customHeight="1" x14ac:dyDescent="0.3">
      <c r="A2" s="192" t="s">
        <v>296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R2" s="15"/>
      <c r="S2" s="15"/>
      <c r="T2" s="15"/>
      <c r="U2" s="15"/>
      <c r="V2" s="15"/>
      <c r="W2" s="15"/>
    </row>
    <row r="3" spans="1:23" ht="28.05" customHeight="1" x14ac:dyDescent="0.3">
      <c r="A3" s="72" t="s">
        <v>320</v>
      </c>
      <c r="B3" s="73"/>
      <c r="C3" s="73"/>
      <c r="D3" s="73"/>
      <c r="E3" s="73"/>
      <c r="F3" s="72" t="s">
        <v>317</v>
      </c>
      <c r="G3" s="73"/>
      <c r="H3" s="73"/>
      <c r="I3" s="73"/>
      <c r="J3" s="72" t="s">
        <v>318</v>
      </c>
      <c r="K3" s="73"/>
      <c r="L3" s="73"/>
      <c r="M3" s="73"/>
      <c r="N3" s="72" t="s">
        <v>319</v>
      </c>
      <c r="O3" s="73"/>
      <c r="P3" s="73"/>
      <c r="Q3" s="4"/>
      <c r="R3" s="16"/>
      <c r="S3" s="16"/>
      <c r="T3" s="16"/>
      <c r="U3" s="15"/>
      <c r="V3" s="15"/>
      <c r="W3" s="15"/>
    </row>
    <row r="4" spans="1:23" ht="19.95" customHeight="1" x14ac:dyDescent="0.3">
      <c r="A4" s="102" t="s">
        <v>297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R4" s="15"/>
      <c r="S4" s="15"/>
      <c r="T4" s="15"/>
      <c r="U4" s="15"/>
      <c r="V4" s="15"/>
      <c r="W4" s="15"/>
    </row>
    <row r="5" spans="1:23" ht="19.95" customHeight="1" x14ac:dyDescent="0.3">
      <c r="A5" s="71" t="s">
        <v>0</v>
      </c>
      <c r="B5" s="71"/>
      <c r="C5" s="113" t="s">
        <v>1</v>
      </c>
      <c r="D5" s="71"/>
      <c r="E5" s="71"/>
      <c r="F5" s="71"/>
      <c r="G5" s="71" t="s">
        <v>2</v>
      </c>
      <c r="H5" s="71"/>
      <c r="I5" s="71"/>
      <c r="J5" s="114">
        <v>46283</v>
      </c>
      <c r="K5" s="71"/>
      <c r="L5" s="71"/>
      <c r="M5" s="71"/>
      <c r="N5" s="71"/>
      <c r="O5" s="71"/>
      <c r="P5" s="71"/>
      <c r="R5" s="15"/>
      <c r="S5" s="15"/>
      <c r="T5" s="15"/>
      <c r="U5" s="15"/>
      <c r="V5" s="15"/>
      <c r="W5" s="15"/>
    </row>
    <row r="6" spans="1:23" ht="28.95" customHeight="1" x14ac:dyDescent="0.3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R6" s="17" t="s">
        <v>3</v>
      </c>
      <c r="S6" s="17" t="s">
        <v>0</v>
      </c>
      <c r="T6" s="17" t="s">
        <v>4</v>
      </c>
      <c r="U6" s="15"/>
      <c r="V6" s="17" t="s">
        <v>5</v>
      </c>
      <c r="W6" s="17" t="s">
        <v>6</v>
      </c>
    </row>
    <row r="7" spans="1:23" ht="31.95" customHeight="1" x14ac:dyDescent="0.3">
      <c r="A7" s="115" t="s">
        <v>7</v>
      </c>
      <c r="B7" s="71"/>
      <c r="C7" s="71"/>
      <c r="D7" s="71"/>
      <c r="E7" s="71"/>
      <c r="F7" s="115" t="s">
        <v>298</v>
      </c>
      <c r="G7" s="71"/>
      <c r="H7" s="71"/>
      <c r="I7" s="71"/>
      <c r="J7" s="71"/>
      <c r="K7" s="115" t="s">
        <v>299</v>
      </c>
      <c r="L7" s="71"/>
      <c r="M7" s="71"/>
      <c r="N7" s="71"/>
      <c r="O7" s="71"/>
      <c r="P7" s="71"/>
      <c r="R7" s="15" t="str">
        <f>Performance!A36</f>
        <v>27-Mar</v>
      </c>
      <c r="S7" s="15">
        <f>Performance!B36</f>
        <v>101.2429504</v>
      </c>
      <c r="T7" s="15">
        <f>Performance!C36</f>
        <v>101.39547570000001</v>
      </c>
      <c r="U7" s="15"/>
      <c r="V7" s="15" t="str">
        <f>Holdings!B7</f>
        <v>Demo Bank</v>
      </c>
      <c r="W7" s="15">
        <f>Holdings!H7</f>
        <v>9.3504373517351705E-2</v>
      </c>
    </row>
    <row r="8" spans="1:23" ht="19.95" customHeight="1" x14ac:dyDescent="0.3">
      <c r="A8" s="116">
        <f>Holdings!G16</f>
        <v>526913.99500000011</v>
      </c>
      <c r="B8" s="71"/>
      <c r="C8" s="71"/>
      <c r="D8" s="71"/>
      <c r="E8" s="71"/>
      <c r="F8" s="116">
        <f>Holdings!G18</f>
        <v>535000</v>
      </c>
      <c r="G8" s="71"/>
      <c r="H8" s="71"/>
      <c r="I8" s="71"/>
      <c r="J8" s="71"/>
      <c r="K8" s="116">
        <f>Holdings!G19</f>
        <v>-8086.0049999998882</v>
      </c>
      <c r="L8" s="71"/>
      <c r="M8" s="71"/>
      <c r="N8" s="71"/>
      <c r="O8" s="71"/>
      <c r="P8" s="71"/>
      <c r="R8" s="15" t="str">
        <f>Performance!A37</f>
        <v>03-Apr</v>
      </c>
      <c r="S8" s="15">
        <f>Performance!B37</f>
        <v>100.03672560000001</v>
      </c>
      <c r="T8" s="15">
        <f>Performance!C37</f>
        <v>99.58256639999999</v>
      </c>
      <c r="U8" s="15"/>
      <c r="V8" s="15" t="str">
        <f>Holdings!B8</f>
        <v>Demo Technology</v>
      </c>
      <c r="W8" s="15">
        <f>Holdings!H8</f>
        <v>0.21834388741183458</v>
      </c>
    </row>
    <row r="9" spans="1:23" ht="19.95" customHeight="1" x14ac:dyDescent="0.3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R9" s="15" t="str">
        <f>Performance!A38</f>
        <v>10-Apr</v>
      </c>
      <c r="S9" s="15">
        <f>Performance!B38</f>
        <v>99.515026400000011</v>
      </c>
      <c r="T9" s="15">
        <f>Performance!C38</f>
        <v>98.5995116</v>
      </c>
      <c r="U9" s="15"/>
      <c r="V9" s="15" t="str">
        <f>Holdings!B9</f>
        <v>Demo Healthcare</v>
      </c>
      <c r="W9" s="15">
        <f>Holdings!H9</f>
        <v>0.13050477431331081</v>
      </c>
    </row>
    <row r="10" spans="1:23" ht="31.95" customHeight="1" x14ac:dyDescent="0.3">
      <c r="A10" s="115" t="s">
        <v>300</v>
      </c>
      <c r="B10" s="71"/>
      <c r="C10" s="71"/>
      <c r="D10" s="71"/>
      <c r="E10" s="71"/>
      <c r="F10" s="115" t="s">
        <v>301</v>
      </c>
      <c r="G10" s="71"/>
      <c r="H10" s="71"/>
      <c r="I10" s="71"/>
      <c r="J10" s="71"/>
      <c r="K10" s="115" t="s">
        <v>302</v>
      </c>
      <c r="L10" s="71"/>
      <c r="M10" s="71"/>
      <c r="N10" s="71"/>
      <c r="O10" s="71"/>
      <c r="P10" s="71"/>
      <c r="R10" s="15" t="str">
        <f>Performance!A39</f>
        <v>17-Apr</v>
      </c>
      <c r="S10" s="15">
        <f>Performance!B39</f>
        <v>99.757746799999993</v>
      </c>
      <c r="T10" s="15">
        <f>Performance!C39</f>
        <v>98.854471999999987</v>
      </c>
      <c r="U10" s="15"/>
      <c r="V10" s="15" t="str">
        <f>Holdings!B10</f>
        <v>Demo Industry</v>
      </c>
      <c r="W10" s="15">
        <f>Holdings!H10</f>
        <v>0.11184363588596652</v>
      </c>
    </row>
    <row r="11" spans="1:23" ht="19.95" customHeight="1" x14ac:dyDescent="0.3">
      <c r="A11" s="117">
        <f>IF($J$5&lt;Holdings!$G$24,"n.a.",INDEX(Daily!$M$7:$M$136,MATCH($J$5,Daily!$A$7:$A$136,0))/100-1)</f>
        <v>-1.7176242533562869E-2</v>
      </c>
      <c r="B11" s="71"/>
      <c r="C11" s="71"/>
      <c r="D11" s="71"/>
      <c r="E11" s="71"/>
      <c r="F11" s="117">
        <f>IF(OR(COUNTIFS(Daily!$R$7:$R$136,"&lt;0")=0,COUNTIFS(Daily!$R$7:$R$136,"&gt;0")=0),"n.a.",XIRR(Daily!$R$7:$R$136,Daily!$A$7:$A$136))</f>
        <v>-3.0511835217475889E-2</v>
      </c>
      <c r="G11" s="71"/>
      <c r="H11" s="71"/>
      <c r="I11" s="71"/>
      <c r="J11" s="71"/>
      <c r="K11" s="117">
        <f>MIN(Daily!$U$7:$U$136)</f>
        <v>-5.750948684762236E-2</v>
      </c>
      <c r="L11" s="71"/>
      <c r="M11" s="71"/>
      <c r="N11" s="71"/>
      <c r="O11" s="71"/>
      <c r="P11" s="71"/>
      <c r="R11" s="15" t="str">
        <f>Performance!A40</f>
        <v>24-Apr</v>
      </c>
      <c r="S11" s="15">
        <f>Performance!B40</f>
        <v>99.390875599999987</v>
      </c>
      <c r="T11" s="15">
        <f>Performance!C40</f>
        <v>97.328268899999998</v>
      </c>
      <c r="U11" s="15"/>
      <c r="V11" s="15" t="str">
        <f>Holdings!B11</f>
        <v>Demo Broad ETF</v>
      </c>
      <c r="W11" s="15">
        <f>Holdings!H11</f>
        <v>0.23388323933206587</v>
      </c>
    </row>
    <row r="12" spans="1:23" ht="19.95" customHeight="1" x14ac:dyDescent="0.3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R12" s="15" t="str">
        <f>Performance!A41</f>
        <v>01-May</v>
      </c>
      <c r="S12" s="15">
        <f>Performance!B41</f>
        <v>98.714225090064147</v>
      </c>
      <c r="T12" s="15">
        <f>Performance!C41</f>
        <v>96.809650199999993</v>
      </c>
      <c r="U12" s="15"/>
      <c r="V12" s="15" t="str">
        <f>Holdings!B12</f>
        <v>Demo Bond ETF</v>
      </c>
      <c r="W12" s="15">
        <f>Holdings!H12</f>
        <v>0.11806340425632458</v>
      </c>
    </row>
    <row r="13" spans="1:23" ht="34.049999999999997" customHeight="1" x14ac:dyDescent="0.3">
      <c r="A13" s="71" t="str">
        <f>IF(COUNTIFS(Transactions!$K$7:$K$1006,"Refresh required")+COUNTIFS(Ledger!$U$7:$U$1006,"Refresh required")&gt;0,"Transaction edits not loaded. Refresh required.",IF(COUNTIFS(Ledger!$S$7:$S$1006,"Review*")&gt;0,"Review transaction errors on Ledger",IF(COUNTIFS(Daily!$S$7:$S$136,"&lt;6",Daily!$A$7:$A$136,"&lt;="&amp;$J$5)&gt;0,"Review missing or nonpositive prices",IF(COUNTIFS(History!$H$7:$H$136,"&gt;0",History!$A$7:$A$136,"&lt;="&amp;$J$5)&lt;COUNTIFS(History!$A$7:$A$136,"&lt;="&amp;$J$5),"Review missing benchmark prices","Synthetic prices; no live exchange connection"))))</f>
        <v>Synthetic prices; no live exchange connection</v>
      </c>
      <c r="B13" s="71"/>
      <c r="C13" s="71"/>
      <c r="D13" s="71"/>
      <c r="E13" s="71"/>
      <c r="F13" s="71"/>
      <c r="G13" s="71"/>
      <c r="H13" s="71"/>
      <c r="I13" s="71"/>
      <c r="J13" s="115" t="s">
        <v>9</v>
      </c>
      <c r="K13" s="71"/>
      <c r="L13" s="71"/>
      <c r="M13" s="71"/>
      <c r="N13" s="71"/>
      <c r="O13" s="71"/>
      <c r="P13" s="71"/>
      <c r="R13" s="15" t="str">
        <f>Performance!A42</f>
        <v>08-May</v>
      </c>
      <c r="S13" s="15">
        <f>Performance!B42</f>
        <v>98.217545810087017</v>
      </c>
      <c r="T13" s="15">
        <f>Performance!C42</f>
        <v>95.382601300000005</v>
      </c>
      <c r="U13" s="15"/>
      <c r="V13" s="15" t="s">
        <v>10</v>
      </c>
      <c r="W13" s="15">
        <f>Holdings!G15/Holdings!G16</f>
        <v>9.3856685283145697E-2</v>
      </c>
    </row>
    <row r="14" spans="1:23" ht="19.95" customHeight="1" x14ac:dyDescent="0.3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R14" s="15" t="str">
        <f>Performance!A43</f>
        <v>15-May</v>
      </c>
      <c r="S14" s="15">
        <f>Performance!B43</f>
        <v>98.661626156553595</v>
      </c>
      <c r="T14" s="15">
        <f>Performance!C43</f>
        <v>94.821611200000007</v>
      </c>
      <c r="U14" s="15"/>
      <c r="V14" s="15"/>
      <c r="W14" s="15"/>
    </row>
    <row r="15" spans="1:23" ht="19.95" customHeight="1" x14ac:dyDescent="0.3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R15" s="15" t="str">
        <f>Performance!A44</f>
        <v>22-May</v>
      </c>
      <c r="S15" s="15">
        <f>Performance!B44</f>
        <v>97.536683763660562</v>
      </c>
      <c r="T15" s="15">
        <f>Performance!C44</f>
        <v>93.794179999999997</v>
      </c>
      <c r="U15" s="15"/>
      <c r="V15" s="15"/>
      <c r="W15" s="15"/>
    </row>
    <row r="16" spans="1:23" ht="19.95" customHeight="1" x14ac:dyDescent="0.3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R16" s="15" t="str">
        <f>Performance!A45</f>
        <v>29-May</v>
      </c>
      <c r="S16" s="15">
        <f>Performance!B45</f>
        <v>97.902007757279236</v>
      </c>
      <c r="T16" s="15">
        <f>Performance!C45</f>
        <v>94.293305799999999</v>
      </c>
      <c r="U16" s="15"/>
      <c r="V16" s="15"/>
      <c r="W16" s="15"/>
    </row>
    <row r="17" spans="1:23" ht="19.95" customHeight="1" x14ac:dyDescent="0.3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R17" s="15" t="str">
        <f>Performance!A46</f>
        <v>05-Jun</v>
      </c>
      <c r="S17" s="15">
        <f>Performance!B46</f>
        <v>96.849714132091094</v>
      </c>
      <c r="T17" s="15">
        <f>Performance!C46</f>
        <v>92.373102100000011</v>
      </c>
      <c r="U17" s="15"/>
      <c r="V17" s="15"/>
      <c r="W17" s="15"/>
    </row>
    <row r="18" spans="1:23" ht="19.95" customHeight="1" x14ac:dyDescent="0.3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R18" s="15" t="str">
        <f>Performance!A47</f>
        <v>12-Jun</v>
      </c>
      <c r="S18" s="15">
        <f>Performance!B47</f>
        <v>95.74796749256403</v>
      </c>
      <c r="T18" s="15">
        <f>Performance!C47</f>
        <v>92.297650999999988</v>
      </c>
      <c r="U18" s="15"/>
      <c r="V18" s="15"/>
      <c r="W18" s="15"/>
    </row>
    <row r="19" spans="1:23" ht="19.95" customHeight="1" x14ac:dyDescent="0.3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R19" s="15" t="str">
        <f>Performance!A48</f>
        <v>19-Jun</v>
      </c>
      <c r="S19" s="15">
        <f>Performance!B48</f>
        <v>97.292863772983949</v>
      </c>
      <c r="T19" s="15">
        <f>Performance!C48</f>
        <v>94.067238000000003</v>
      </c>
      <c r="U19" s="15"/>
      <c r="V19" s="15"/>
      <c r="W19" s="15"/>
    </row>
    <row r="20" spans="1:23" ht="19.95" customHeight="1" x14ac:dyDescent="0.3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R20" s="15" t="str">
        <f>Performance!A49</f>
        <v>26-Jun</v>
      </c>
      <c r="S20" s="15">
        <f>Performance!B49</f>
        <v>99.15156612612985</v>
      </c>
      <c r="T20" s="15">
        <f>Performance!C49</f>
        <v>97.057310399999992</v>
      </c>
      <c r="U20" s="15"/>
      <c r="V20" s="15"/>
      <c r="W20" s="15"/>
    </row>
    <row r="21" spans="1:23" ht="19.95" customHeight="1" x14ac:dyDescent="0.3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R21" s="15" t="str">
        <f>Performance!A50</f>
        <v>03-Jul</v>
      </c>
      <c r="S21" s="15">
        <f>Performance!B50</f>
        <v>99.731054603237965</v>
      </c>
      <c r="T21" s="15">
        <f>Performance!C50</f>
        <v>97.147943299999994</v>
      </c>
      <c r="U21" s="15"/>
      <c r="V21" s="15"/>
      <c r="W21" s="15"/>
    </row>
    <row r="22" spans="1:23" ht="19.95" customHeight="1" x14ac:dyDescent="0.3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R22" s="15" t="str">
        <f>Performance!A51</f>
        <v>10-Jul</v>
      </c>
      <c r="S22" s="15">
        <f>Performance!B51</f>
        <v>100.54808611815967</v>
      </c>
      <c r="T22" s="15">
        <f>Performance!C51</f>
        <v>97.803045400000002</v>
      </c>
      <c r="U22" s="15"/>
      <c r="V22" s="15"/>
      <c r="W22" s="15"/>
    </row>
    <row r="23" spans="1:23" ht="19.95" customHeight="1" x14ac:dyDescent="0.3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R23" s="15" t="str">
        <f>Performance!A52</f>
        <v>17-Jul</v>
      </c>
      <c r="S23" s="15">
        <f>Performance!B52</f>
        <v>101.68400019915038</v>
      </c>
      <c r="T23" s="15">
        <f>Performance!C52</f>
        <v>97.566513400000005</v>
      </c>
      <c r="U23" s="15"/>
      <c r="V23" s="15"/>
      <c r="W23" s="15"/>
    </row>
    <row r="24" spans="1:23" ht="19.95" customHeight="1" x14ac:dyDescent="0.3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R24" s="15" t="str">
        <f>Performance!A53</f>
        <v>24-Jul</v>
      </c>
      <c r="S24" s="15">
        <f>Performance!B53</f>
        <v>100.55460269094806</v>
      </c>
      <c r="T24" s="15">
        <f>Performance!C53</f>
        <v>96.276389600000002</v>
      </c>
      <c r="U24" s="15"/>
      <c r="V24" s="15"/>
      <c r="W24" s="15"/>
    </row>
    <row r="25" spans="1:23" ht="19.95" customHeight="1" x14ac:dyDescent="0.3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R25" s="15" t="str">
        <f>Performance!A54</f>
        <v>31-Jul</v>
      </c>
      <c r="S25" s="15">
        <f>Performance!B54</f>
        <v>101.69615836893909</v>
      </c>
      <c r="T25" s="15">
        <f>Performance!C54</f>
        <v>97.485243300000008</v>
      </c>
      <c r="U25" s="15"/>
      <c r="V25" s="15"/>
      <c r="W25" s="15"/>
    </row>
    <row r="26" spans="1:23" ht="19.95" customHeight="1" x14ac:dyDescent="0.3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R26" s="15" t="str">
        <f>Performance!A55</f>
        <v>07-Aug</v>
      </c>
      <c r="S26" s="15">
        <f>Performance!B55</f>
        <v>102.84219127019533</v>
      </c>
      <c r="T26" s="15">
        <f>Performance!C55</f>
        <v>98.759670500000013</v>
      </c>
      <c r="U26" s="15"/>
      <c r="V26" s="15"/>
      <c r="W26" s="15"/>
    </row>
    <row r="27" spans="1:23" ht="19.95" customHeight="1" x14ac:dyDescent="0.3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R27" s="15" t="str">
        <f>Performance!A56</f>
        <v>14-Aug</v>
      </c>
      <c r="S27" s="15">
        <f>Performance!B56</f>
        <v>102.76906414876852</v>
      </c>
      <c r="T27" s="15">
        <f>Performance!C56</f>
        <v>98.554955800000002</v>
      </c>
      <c r="U27" s="15"/>
      <c r="V27" s="15"/>
      <c r="W27" s="15"/>
    </row>
    <row r="28" spans="1:23" ht="19.95" customHeight="1" x14ac:dyDescent="0.3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R28" s="15" t="str">
        <f>Performance!A57</f>
        <v>21-Aug</v>
      </c>
      <c r="S28" s="15">
        <f>Performance!B57</f>
        <v>100.94956528516305</v>
      </c>
      <c r="T28" s="15">
        <f>Performance!C57</f>
        <v>97.847237500000006</v>
      </c>
      <c r="U28" s="15"/>
      <c r="V28" s="15"/>
      <c r="W28" s="15"/>
    </row>
    <row r="29" spans="1:23" ht="19.95" customHeight="1" x14ac:dyDescent="0.3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R29" s="15" t="str">
        <f>Performance!A58</f>
        <v>28-Aug</v>
      </c>
      <c r="S29" s="15">
        <f>Performance!B58</f>
        <v>99.090048706669975</v>
      </c>
      <c r="T29" s="15">
        <f>Performance!C58</f>
        <v>97.370688800000011</v>
      </c>
      <c r="U29" s="15"/>
      <c r="V29" s="15"/>
      <c r="W29" s="15"/>
    </row>
    <row r="30" spans="1:23" ht="19.95" customHeight="1" x14ac:dyDescent="0.3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R30" s="15" t="str">
        <f>Performance!A59</f>
        <v>04-Sep</v>
      </c>
      <c r="S30" s="15">
        <f>Performance!B59</f>
        <v>100.69837048665232</v>
      </c>
      <c r="T30" s="15">
        <f>Performance!C59</f>
        <v>98.773055299999996</v>
      </c>
      <c r="U30" s="15"/>
      <c r="V30" s="15"/>
      <c r="W30" s="15"/>
    </row>
    <row r="31" spans="1:23" ht="19.95" customHeight="1" x14ac:dyDescent="0.3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R31" s="15" t="str">
        <f>Performance!A60</f>
        <v>11-Sep</v>
      </c>
      <c r="S31" s="15">
        <f>Performance!B60</f>
        <v>101.70966311665187</v>
      </c>
      <c r="T31" s="15">
        <f>Performance!C60</f>
        <v>100.32490510000001</v>
      </c>
      <c r="U31" s="15"/>
      <c r="V31" s="15"/>
      <c r="W31" s="15"/>
    </row>
    <row r="32" spans="1:23" ht="28.95" customHeight="1" x14ac:dyDescent="0.3">
      <c r="A32" s="118" t="s">
        <v>11</v>
      </c>
      <c r="B32" s="118" t="s">
        <v>12</v>
      </c>
      <c r="C32" s="118" t="s">
        <v>13</v>
      </c>
      <c r="D32" s="118" t="s">
        <v>14</v>
      </c>
      <c r="E32" s="118" t="s">
        <v>15</v>
      </c>
      <c r="F32" s="118" t="s">
        <v>6</v>
      </c>
      <c r="G32" s="118" t="s">
        <v>16</v>
      </c>
      <c r="H32" s="118" t="s">
        <v>17</v>
      </c>
      <c r="I32" s="119"/>
      <c r="J32" s="119" t="s">
        <v>18</v>
      </c>
      <c r="K32" s="119"/>
      <c r="L32" s="119"/>
      <c r="M32" s="120">
        <f>MAX(Quotes!C7:C12)</f>
        <v>46283.645833333336</v>
      </c>
      <c r="N32" s="119"/>
      <c r="O32" s="119"/>
      <c r="P32" s="119"/>
      <c r="R32" s="15" t="str">
        <f>Performance!A61</f>
        <v>18-Sep</v>
      </c>
      <c r="S32" s="15">
        <f>Performance!B61</f>
        <v>98.282375746643709</v>
      </c>
      <c r="T32" s="15">
        <f>Performance!C61</f>
        <v>96.624133900000004</v>
      </c>
      <c r="U32" s="15"/>
      <c r="V32" s="15"/>
      <c r="W32" s="15"/>
    </row>
    <row r="33" spans="1:23" ht="19.95" customHeight="1" x14ac:dyDescent="0.3">
      <c r="A33" s="71" t="str">
        <f>Holdings!B7</f>
        <v>Demo Bank</v>
      </c>
      <c r="B33" s="71" t="str">
        <f>Holdings!C7</f>
        <v>Banking</v>
      </c>
      <c r="C33" s="121">
        <f>Holdings!D7</f>
        <v>90</v>
      </c>
      <c r="D33" s="99">
        <f>Holdings!F7</f>
        <v>547.4307</v>
      </c>
      <c r="E33" s="121">
        <f>Holdings!G7</f>
        <v>49268.762999999999</v>
      </c>
      <c r="F33" s="122">
        <f>Holdings!H7</f>
        <v>9.3504373517351705E-2</v>
      </c>
      <c r="G33" s="121">
        <f>Holdings!J7</f>
        <v>290.13119999999617</v>
      </c>
      <c r="H33" s="121">
        <f>Holdings!K7</f>
        <v>88.746799999998984</v>
      </c>
      <c r="I33" s="71"/>
      <c r="J33" s="71"/>
      <c r="K33" s="71"/>
      <c r="L33" s="71"/>
      <c r="M33" s="123"/>
      <c r="N33" s="71"/>
      <c r="O33" s="71"/>
      <c r="P33" s="71"/>
      <c r="R33" s="15"/>
      <c r="S33" s="15"/>
      <c r="T33" s="15"/>
      <c r="U33" s="15"/>
      <c r="V33" s="15"/>
      <c r="W33" s="15"/>
    </row>
    <row r="34" spans="1:23" ht="19.95" customHeight="1" x14ac:dyDescent="0.3">
      <c r="A34" s="111" t="str">
        <f>Holdings!B8</f>
        <v>Demo Technology</v>
      </c>
      <c r="B34" s="111" t="str">
        <f>Holdings!C8</f>
        <v>Technology</v>
      </c>
      <c r="C34" s="124">
        <f>Holdings!D8</f>
        <v>220</v>
      </c>
      <c r="D34" s="125">
        <f>Holdings!F8</f>
        <v>522.94749999999999</v>
      </c>
      <c r="E34" s="124">
        <f>Holdings!G8</f>
        <v>115048.45</v>
      </c>
      <c r="F34" s="126">
        <f>Holdings!H8</f>
        <v>0.21834388741183458</v>
      </c>
      <c r="G34" s="124">
        <f>Holdings!J8</f>
        <v>-16464.454000000012</v>
      </c>
      <c r="H34" s="124">
        <f>Holdings!K8</f>
        <v>0</v>
      </c>
      <c r="I34" s="111"/>
      <c r="J34" s="111" t="s">
        <v>19</v>
      </c>
      <c r="K34" s="111"/>
      <c r="L34" s="111"/>
      <c r="M34" s="127">
        <f>IF(COUNT(Quotes!D7:D12)=0,"Not refreshed",MAX(Quotes!D7:D12))</f>
        <v>46286.964532418984</v>
      </c>
      <c r="N34" s="111"/>
      <c r="O34" s="111"/>
      <c r="P34" s="111"/>
      <c r="R34" s="15"/>
      <c r="S34" s="15"/>
      <c r="T34" s="15"/>
      <c r="U34" s="15"/>
      <c r="V34" s="15"/>
      <c r="W34" s="15"/>
    </row>
    <row r="35" spans="1:23" ht="19.95" customHeight="1" x14ac:dyDescent="0.3">
      <c r="A35" s="71" t="str">
        <f>Holdings!B9</f>
        <v>Demo Healthcare</v>
      </c>
      <c r="B35" s="71" t="str">
        <f>Holdings!C9</f>
        <v>Healthcare</v>
      </c>
      <c r="C35" s="121">
        <f>Holdings!D9</f>
        <v>80</v>
      </c>
      <c r="D35" s="99">
        <f>Holdings!F9</f>
        <v>859.55989999999997</v>
      </c>
      <c r="E35" s="121">
        <f>Holdings!G9</f>
        <v>68764.792000000001</v>
      </c>
      <c r="F35" s="122">
        <f>Holdings!H9</f>
        <v>0.13050477431331081</v>
      </c>
      <c r="G35" s="121">
        <f>Holdings!J9</f>
        <v>462.6310000000085</v>
      </c>
      <c r="H35" s="121">
        <f>Holdings!K9</f>
        <v>0</v>
      </c>
      <c r="I35" s="71"/>
      <c r="J35" s="71"/>
      <c r="K35" s="71"/>
      <c r="L35" s="71"/>
      <c r="M35" s="71"/>
      <c r="N35" s="71"/>
      <c r="O35" s="71"/>
      <c r="P35" s="71"/>
      <c r="R35" s="15"/>
      <c r="S35" s="15"/>
      <c r="T35" s="15"/>
      <c r="U35" s="15"/>
      <c r="V35" s="15"/>
      <c r="W35" s="15"/>
    </row>
    <row r="36" spans="1:23" ht="19.95" customHeight="1" x14ac:dyDescent="0.3">
      <c r="A36" s="111" t="str">
        <f>Holdings!B10</f>
        <v>Demo Industry</v>
      </c>
      <c r="B36" s="111" t="str">
        <f>Holdings!C10</f>
        <v>Industrials</v>
      </c>
      <c r="C36" s="124">
        <f>Holdings!D10</f>
        <v>130</v>
      </c>
      <c r="D36" s="125">
        <f>Holdings!F10</f>
        <v>453.3229</v>
      </c>
      <c r="E36" s="124">
        <f>Holdings!G10</f>
        <v>58931.976999999999</v>
      </c>
      <c r="F36" s="126">
        <f>Holdings!H10</f>
        <v>0.11184363588596652</v>
      </c>
      <c r="G36" s="124">
        <f>Holdings!J10</f>
        <v>3010.3103333333274</v>
      </c>
      <c r="H36" s="124">
        <f>Holdings!K10</f>
        <v>-1029.9583333333321</v>
      </c>
      <c r="I36" s="111"/>
      <c r="J36" s="111"/>
      <c r="K36" s="111"/>
      <c r="L36" s="111"/>
      <c r="M36" s="111"/>
      <c r="N36" s="111"/>
      <c r="O36" s="111"/>
      <c r="P36" s="111"/>
      <c r="R36" s="15"/>
      <c r="S36" s="15"/>
      <c r="T36" s="15"/>
      <c r="U36" s="15"/>
      <c r="V36" s="15"/>
      <c r="W36" s="15"/>
    </row>
    <row r="37" spans="1:23" ht="19.95" customHeight="1" x14ac:dyDescent="0.3">
      <c r="A37" s="71" t="str">
        <f>Holdings!B11</f>
        <v>Demo Broad ETF</v>
      </c>
      <c r="B37" s="71" t="str">
        <f>Holdings!C11</f>
        <v>Diversified equity</v>
      </c>
      <c r="C37" s="121">
        <f>Holdings!D11</f>
        <v>480</v>
      </c>
      <c r="D37" s="99">
        <f>Holdings!F11</f>
        <v>256.74239999999998</v>
      </c>
      <c r="E37" s="121">
        <f>Holdings!G11</f>
        <v>123236.35199999998</v>
      </c>
      <c r="F37" s="122">
        <f>Holdings!H11</f>
        <v>0.23388323933206587</v>
      </c>
      <c r="G37" s="121">
        <f>Holdings!J11</f>
        <v>3337.3279999999795</v>
      </c>
      <c r="H37" s="121">
        <f>Holdings!K11</f>
        <v>0</v>
      </c>
      <c r="I37" s="71"/>
      <c r="J37" s="71" t="s">
        <v>20</v>
      </c>
      <c r="K37" s="71"/>
      <c r="L37" s="71"/>
      <c r="M37" s="71"/>
      <c r="N37" s="71"/>
      <c r="O37" s="71"/>
      <c r="P37" s="71"/>
      <c r="R37" s="15"/>
      <c r="S37" s="15"/>
      <c r="T37" s="15"/>
      <c r="U37" s="15"/>
      <c r="V37" s="15"/>
      <c r="W37" s="15"/>
    </row>
    <row r="38" spans="1:23" ht="19.95" customHeight="1" x14ac:dyDescent="0.3">
      <c r="A38" s="111" t="str">
        <f>Holdings!B12</f>
        <v>Demo Bond ETF</v>
      </c>
      <c r="B38" s="111" t="str">
        <f>Holdings!C12</f>
        <v>Fixed income</v>
      </c>
      <c r="C38" s="124">
        <f>Holdings!D12</f>
        <v>600</v>
      </c>
      <c r="D38" s="125">
        <f>Holdings!F12</f>
        <v>103.68210000000001</v>
      </c>
      <c r="E38" s="124">
        <f>Holdings!G12</f>
        <v>62209.26</v>
      </c>
      <c r="F38" s="126">
        <f>Holdings!H12</f>
        <v>0.11806340425632458</v>
      </c>
      <c r="G38" s="124">
        <f>Holdings!J12</f>
        <v>2179.260000000002</v>
      </c>
      <c r="H38" s="124">
        <f>Holdings!K12</f>
        <v>0</v>
      </c>
      <c r="I38" s="111"/>
      <c r="J38" s="111"/>
      <c r="K38" s="111"/>
      <c r="L38" s="111"/>
      <c r="M38" s="111"/>
      <c r="N38" s="111"/>
      <c r="O38" s="111"/>
      <c r="P38" s="111"/>
      <c r="R38" s="15"/>
      <c r="S38" s="15"/>
      <c r="T38" s="15"/>
      <c r="U38" s="15"/>
      <c r="V38" s="15"/>
      <c r="W38" s="15"/>
    </row>
    <row r="39" spans="1:23" ht="19.95" customHeight="1" x14ac:dyDescent="0.3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R39" s="15"/>
      <c r="S39" s="15"/>
      <c r="T39" s="15"/>
      <c r="U39" s="15"/>
      <c r="V39" s="15"/>
      <c r="W39" s="15"/>
    </row>
    <row r="40" spans="1:23" ht="19.95" customHeight="1" x14ac:dyDescent="0.3">
      <c r="A40" s="71" t="s">
        <v>21</v>
      </c>
      <c r="B40" s="71"/>
      <c r="C40" s="71"/>
      <c r="D40" s="71"/>
      <c r="E40" s="121">
        <f>Holdings!G15</f>
        <v>49454.401000000013</v>
      </c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R40" s="15"/>
      <c r="S40" s="15"/>
      <c r="T40" s="15"/>
      <c r="U40" s="15"/>
      <c r="V40" s="15"/>
      <c r="W40" s="15"/>
    </row>
    <row r="41" spans="1:23" ht="19.95" customHeight="1" x14ac:dyDescent="0.3">
      <c r="A41" s="71"/>
      <c r="B41" s="71"/>
      <c r="C41" s="71"/>
      <c r="D41" s="71"/>
      <c r="E41" s="71"/>
      <c r="F41" s="71"/>
      <c r="G41" s="71"/>
      <c r="H41" s="71"/>
      <c r="I41" s="71"/>
      <c r="J41" s="71" t="s">
        <v>22</v>
      </c>
      <c r="K41" s="71"/>
      <c r="L41" s="71"/>
      <c r="M41" s="71" t="str">
        <f>IF(COUNTIFS(Transactions!$K$7:$K$1006,"Refresh required")+COUNTIFS(Ledger!$U$7:$U$1006,"Refresh required")&gt;0,"Refresh required","Matched")</f>
        <v>Matched</v>
      </c>
      <c r="N41" s="71"/>
      <c r="O41" s="71"/>
      <c r="P41" s="71"/>
    </row>
    <row r="42" spans="1:23" ht="19.95" customHeight="1" x14ac:dyDescent="0.3">
      <c r="A42" s="71" t="s">
        <v>303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</row>
    <row r="43" spans="1:23" ht="19.95" customHeight="1" x14ac:dyDescent="0.3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</row>
    <row r="44" spans="1:23" ht="19.95" customHeight="1" x14ac:dyDescent="0.3">
      <c r="A44" s="71" t="s">
        <v>304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</row>
    <row r="45" spans="1:23" ht="19.95" customHeight="1" x14ac:dyDescent="0.3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</row>
    <row r="46" spans="1:23" ht="19.95" customHeight="1" x14ac:dyDescent="0.3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</row>
    <row r="47" spans="1:23" ht="19.95" customHeight="1" x14ac:dyDescent="0.3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</row>
    <row r="48" spans="1:23" ht="19.95" customHeight="1" x14ac:dyDescent="0.3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</row>
    <row r="49" spans="1:16" ht="19.95" customHeight="1" x14ac:dyDescent="0.3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</row>
    <row r="50" spans="1:16" x14ac:dyDescent="0.3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</row>
    <row r="51" spans="1:16" x14ac:dyDescent="0.3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</row>
    <row r="52" spans="1:16" x14ac:dyDescent="0.3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</row>
    <row r="53" spans="1:16" x14ac:dyDescent="0.3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</row>
    <row r="54" spans="1:16" x14ac:dyDescent="0.3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</row>
    <row r="55" spans="1:16" x14ac:dyDescent="0.3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</row>
    <row r="56" spans="1:16" x14ac:dyDescent="0.3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</row>
    <row r="57" spans="1:16" x14ac:dyDescent="0.3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</row>
    <row r="58" spans="1:16" x14ac:dyDescent="0.3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</row>
    <row r="59" spans="1:16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</row>
    <row r="60" spans="1:16" x14ac:dyDescent="0.3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</row>
    <row r="61" spans="1:16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</row>
    <row r="62" spans="1:16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</row>
    <row r="63" spans="1:16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</row>
    <row r="64" spans="1:16" x14ac:dyDescent="0.3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</row>
    <row r="65" spans="1:16" x14ac:dyDescent="0.3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</row>
  </sheetData>
  <mergeCells count="1">
    <mergeCell ref="A2:P2"/>
  </mergeCells>
  <conditionalFormatting sqref="A13">
    <cfRule type="containsText" dxfId="44" priority="1" operator="containsText" text="Review"/>
  </conditionalFormatting>
  <dataValidations count="2">
    <dataValidation type="list" sqref="C5" xr:uid="{00000000-0002-0000-0000-000000000000}">
      <formula1>"Model,Practice"</formula1>
    </dataValidation>
    <dataValidation type="list" allowBlank="1" showInputMessage="1" showErrorMessage="1" sqref="J5" xr:uid="{C6A86D4C-062D-443D-9C1A-2668FEAF715F}">
      <formula1>AvailableDates</formula1>
    </dataValidation>
  </dataValidations>
  <hyperlinks>
    <hyperlink ref="A3" location="'Watchlist'!A1" tooltip="Watchlist" display="Watchlist" xr:uid="{807F871D-CB67-4F18-B9FA-ABB6F87FCC54}"/>
    <hyperlink ref="F3" location="'Holdings'!A1" tooltip="Holdings" display="Holdings" xr:uid="{321F8C75-421D-468C-A361-9141160FB9FF}"/>
    <hyperlink ref="J3" location="'Transactions'!A1" tooltip="Transactions" display="Transactions" xr:uid="{1A08E6DC-39F8-4A70-95D5-E13D6B7F6333}"/>
    <hyperlink ref="N3" location="'Help'!A1" tooltip="Help" display="Help" xr:uid="{75D31FEB-BAFB-4423-8EC2-9B7D9CA1A370}"/>
  </hyperlinks>
  <pageMargins left="0.27777777777777779" right="0.27777777777777779" top="0.27777777777777779" bottom="0.27777777777777779" header="0.3" footer="0.3"/>
  <pageSetup paperSize="8" scale="7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1AF3-B151-4657-8AD2-CCB0E80C674F}">
  <sheetPr>
    <tabColor rgb="FF718096"/>
    <pageSetUpPr fitToPage="1"/>
  </sheetPr>
  <dimension ref="A1:K42"/>
  <sheetViews>
    <sheetView showGridLines="0" zoomScaleNormal="100" workbookViewId="0"/>
  </sheetViews>
  <sheetFormatPr defaultRowHeight="14.4" x14ac:dyDescent="0.3"/>
  <cols>
    <col min="1" max="1" width="3" customWidth="1"/>
    <col min="2" max="2" width="25" customWidth="1"/>
    <col min="3" max="3" width="100" customWidth="1"/>
  </cols>
  <sheetData>
    <row r="1" spans="1:11" ht="24" customHeight="1" x14ac:dyDescent="0.3">
      <c r="A1" s="28"/>
      <c r="B1" s="33"/>
      <c r="C1" s="33"/>
      <c r="D1" s="28"/>
      <c r="E1" s="28"/>
      <c r="F1" s="28"/>
      <c r="G1" s="28"/>
      <c r="H1" s="28"/>
      <c r="I1" s="28"/>
      <c r="J1" s="28"/>
      <c r="K1" s="28"/>
    </row>
    <row r="2" spans="1:11" ht="36" customHeight="1" x14ac:dyDescent="0.3">
      <c r="A2" s="28"/>
      <c r="B2" s="169" t="s">
        <v>262</v>
      </c>
      <c r="C2" s="170"/>
      <c r="D2" s="28"/>
      <c r="E2" s="28"/>
      <c r="F2" s="28"/>
      <c r="G2" s="28"/>
      <c r="H2" s="28"/>
      <c r="I2" s="28"/>
      <c r="J2" s="28"/>
      <c r="K2" s="28"/>
    </row>
    <row r="3" spans="1:11" ht="28.05" customHeight="1" x14ac:dyDescent="0.3">
      <c r="A3" s="28"/>
      <c r="B3" s="34" t="s">
        <v>321</v>
      </c>
      <c r="C3" s="35"/>
      <c r="D3" s="28"/>
      <c r="E3" s="28"/>
      <c r="F3" s="28"/>
      <c r="G3" s="28"/>
      <c r="H3" s="28"/>
      <c r="I3" s="28"/>
      <c r="J3" s="28"/>
      <c r="K3" s="28"/>
    </row>
    <row r="4" spans="1:11" ht="24" customHeight="1" x14ac:dyDescent="0.3">
      <c r="A4" s="28"/>
      <c r="B4" s="33"/>
      <c r="C4" s="33"/>
      <c r="D4" s="28"/>
      <c r="E4" s="28"/>
      <c r="F4" s="28"/>
      <c r="G4" s="28"/>
      <c r="H4" s="28"/>
      <c r="I4" s="28"/>
      <c r="J4" s="28"/>
      <c r="K4" s="28"/>
    </row>
    <row r="5" spans="1:11" ht="24" customHeight="1" x14ac:dyDescent="0.3">
      <c r="A5" s="28"/>
      <c r="B5" s="37" t="s">
        <v>263</v>
      </c>
      <c r="C5" s="33"/>
      <c r="D5" s="28"/>
      <c r="E5" s="28"/>
      <c r="F5" s="28"/>
      <c r="G5" s="28"/>
      <c r="H5" s="28"/>
      <c r="I5" s="28"/>
      <c r="J5" s="28"/>
      <c r="K5" s="28"/>
    </row>
    <row r="6" spans="1:11" ht="24" customHeight="1" x14ac:dyDescent="0.3">
      <c r="A6" s="28"/>
      <c r="B6" s="33"/>
      <c r="C6" s="33"/>
      <c r="D6" s="28"/>
      <c r="E6" s="28"/>
      <c r="F6" s="28"/>
      <c r="G6" s="28"/>
      <c r="H6" s="28"/>
      <c r="I6" s="28"/>
      <c r="J6" s="28"/>
      <c r="K6" s="28"/>
    </row>
    <row r="7" spans="1:11" ht="30" customHeight="1" x14ac:dyDescent="0.3">
      <c r="A7" s="28"/>
      <c r="B7" s="129" t="s">
        <v>264</v>
      </c>
      <c r="C7" s="129" t="s">
        <v>265</v>
      </c>
      <c r="D7" s="28"/>
      <c r="E7" s="28"/>
      <c r="F7" s="28"/>
      <c r="G7" s="28"/>
      <c r="H7" s="28"/>
      <c r="I7" s="28"/>
      <c r="J7" s="28"/>
      <c r="K7" s="28"/>
    </row>
    <row r="8" spans="1:11" ht="46.05" customHeight="1" x14ac:dyDescent="0.3">
      <c r="A8" s="28"/>
      <c r="B8" s="130" t="s">
        <v>266</v>
      </c>
      <c r="C8" s="131" t="s">
        <v>267</v>
      </c>
      <c r="D8" s="28"/>
      <c r="E8" s="28"/>
      <c r="F8" s="28"/>
      <c r="G8" s="28"/>
      <c r="H8" s="28"/>
      <c r="I8" s="28"/>
      <c r="J8" s="28"/>
      <c r="K8" s="28"/>
    </row>
    <row r="9" spans="1:11" ht="46.05" customHeight="1" x14ac:dyDescent="0.3">
      <c r="A9" s="28"/>
      <c r="B9" s="132" t="s">
        <v>268</v>
      </c>
      <c r="C9" s="133" t="s">
        <v>269</v>
      </c>
      <c r="D9" s="28"/>
      <c r="E9" s="28"/>
      <c r="F9" s="28"/>
      <c r="G9" s="28"/>
      <c r="H9" s="28"/>
      <c r="I9" s="28"/>
      <c r="J9" s="28"/>
      <c r="K9" s="28"/>
    </row>
    <row r="10" spans="1:11" ht="46.05" customHeight="1" x14ac:dyDescent="0.3">
      <c r="A10" s="28"/>
      <c r="B10" s="130" t="s">
        <v>270</v>
      </c>
      <c r="C10" s="131" t="s">
        <v>271</v>
      </c>
      <c r="D10" s="28"/>
      <c r="E10" s="28"/>
      <c r="F10" s="28"/>
      <c r="G10" s="28"/>
      <c r="H10" s="28"/>
      <c r="I10" s="28"/>
      <c r="J10" s="28"/>
      <c r="K10" s="28"/>
    </row>
    <row r="11" spans="1:11" ht="46.05" customHeight="1" x14ac:dyDescent="0.3">
      <c r="A11" s="28"/>
      <c r="B11" s="132" t="s">
        <v>272</v>
      </c>
      <c r="C11" s="133" t="s">
        <v>273</v>
      </c>
      <c r="D11" s="28"/>
      <c r="E11" s="28"/>
      <c r="F11" s="28"/>
      <c r="G11" s="28"/>
      <c r="H11" s="28"/>
      <c r="I11" s="28"/>
      <c r="J11" s="28"/>
      <c r="K11" s="28"/>
    </row>
    <row r="12" spans="1:11" ht="46.05" customHeight="1" x14ac:dyDescent="0.3">
      <c r="A12" s="28"/>
      <c r="B12" s="130" t="s">
        <v>274</v>
      </c>
      <c r="C12" s="131" t="s">
        <v>275</v>
      </c>
      <c r="D12" s="28"/>
      <c r="E12" s="28"/>
      <c r="F12" s="28"/>
      <c r="G12" s="28"/>
      <c r="H12" s="28"/>
      <c r="I12" s="28"/>
      <c r="J12" s="28"/>
      <c r="K12" s="28"/>
    </row>
    <row r="13" spans="1:11" ht="46.05" customHeight="1" x14ac:dyDescent="0.3">
      <c r="A13" s="28"/>
      <c r="B13" s="132" t="s">
        <v>276</v>
      </c>
      <c r="C13" s="133" t="s">
        <v>277</v>
      </c>
      <c r="D13" s="28"/>
      <c r="E13" s="28"/>
      <c r="F13" s="28"/>
      <c r="G13" s="28"/>
      <c r="H13" s="28"/>
      <c r="I13" s="28"/>
      <c r="J13" s="28"/>
      <c r="K13" s="28"/>
    </row>
    <row r="14" spans="1:11" ht="46.05" customHeight="1" x14ac:dyDescent="0.3">
      <c r="A14" s="28"/>
      <c r="B14" s="130" t="s">
        <v>278</v>
      </c>
      <c r="C14" s="131" t="s">
        <v>279</v>
      </c>
      <c r="D14" s="28"/>
      <c r="E14" s="28"/>
      <c r="F14" s="28"/>
      <c r="G14" s="28"/>
      <c r="H14" s="28"/>
      <c r="I14" s="28"/>
      <c r="J14" s="28"/>
      <c r="K14" s="28"/>
    </row>
    <row r="15" spans="1:11" ht="46.05" customHeight="1" x14ac:dyDescent="0.3">
      <c r="A15" s="28"/>
      <c r="B15" s="132" t="s">
        <v>280</v>
      </c>
      <c r="C15" s="133" t="s">
        <v>281</v>
      </c>
      <c r="D15" s="28"/>
      <c r="E15" s="28"/>
      <c r="F15" s="28"/>
      <c r="G15" s="28"/>
      <c r="H15" s="28"/>
      <c r="I15" s="28"/>
      <c r="J15" s="28"/>
      <c r="K15" s="28"/>
    </row>
    <row r="16" spans="1:11" ht="46.05" customHeight="1" x14ac:dyDescent="0.3">
      <c r="A16" s="28"/>
      <c r="B16" s="134" t="s">
        <v>282</v>
      </c>
      <c r="C16" s="135" t="s">
        <v>283</v>
      </c>
      <c r="D16" s="28"/>
      <c r="E16" s="28"/>
      <c r="F16" s="28"/>
      <c r="G16" s="28"/>
      <c r="H16" s="28"/>
      <c r="I16" s="28"/>
      <c r="J16" s="28"/>
      <c r="K16" s="28"/>
    </row>
    <row r="17" spans="1:11" ht="42" customHeight="1" x14ac:dyDescent="0.3">
      <c r="A17" s="28"/>
      <c r="B17" s="162" t="s">
        <v>396</v>
      </c>
      <c r="C17" s="163" t="s">
        <v>397</v>
      </c>
      <c r="D17" s="28"/>
      <c r="E17" s="28"/>
      <c r="F17" s="28"/>
      <c r="G17" s="28"/>
      <c r="H17" s="28"/>
      <c r="I17" s="28"/>
      <c r="J17" s="28"/>
      <c r="K17" s="28"/>
    </row>
    <row r="18" spans="1:11" ht="46.05" customHeight="1" x14ac:dyDescent="0.3">
      <c r="A18" s="28"/>
      <c r="B18" s="162" t="s">
        <v>542</v>
      </c>
      <c r="C18" s="163" t="s">
        <v>543</v>
      </c>
      <c r="D18" s="28"/>
      <c r="E18" s="28"/>
      <c r="F18" s="28"/>
      <c r="G18" s="28"/>
      <c r="H18" s="28"/>
      <c r="I18" s="28"/>
      <c r="J18" s="28"/>
      <c r="K18" s="28"/>
    </row>
    <row r="19" spans="1:11" ht="42" customHeight="1" x14ac:dyDescent="0.3">
      <c r="A19" s="28"/>
      <c r="B19" s="133" t="s">
        <v>284</v>
      </c>
      <c r="C19" s="133" t="s">
        <v>285</v>
      </c>
      <c r="D19" s="28"/>
      <c r="E19" s="28"/>
      <c r="F19" s="28"/>
      <c r="G19" s="28"/>
      <c r="H19" s="28"/>
      <c r="I19" s="28"/>
      <c r="J19" s="28"/>
      <c r="K19" s="28"/>
    </row>
    <row r="20" spans="1:11" ht="42" customHeight="1" x14ac:dyDescent="0.3">
      <c r="A20" s="28"/>
      <c r="B20" s="133" t="s">
        <v>286</v>
      </c>
      <c r="C20" s="133" t="s">
        <v>287</v>
      </c>
      <c r="D20" s="28"/>
      <c r="E20" s="28"/>
      <c r="F20" s="28"/>
      <c r="G20" s="28"/>
      <c r="H20" s="28"/>
      <c r="I20" s="28"/>
      <c r="J20" s="28"/>
      <c r="K20" s="28"/>
    </row>
    <row r="21" spans="1:11" ht="24" customHeight="1" x14ac:dyDescent="0.3">
      <c r="A21" s="28"/>
      <c r="B21" s="33"/>
      <c r="C21" s="33"/>
      <c r="D21" s="28"/>
      <c r="E21" s="28"/>
      <c r="F21" s="28"/>
      <c r="G21" s="28"/>
      <c r="H21" s="28"/>
      <c r="I21" s="28"/>
      <c r="J21" s="28"/>
      <c r="K21" s="28"/>
    </row>
    <row r="22" spans="1:11" ht="30" customHeight="1" x14ac:dyDescent="0.3">
      <c r="A22" s="28"/>
      <c r="B22" s="129" t="s">
        <v>255</v>
      </c>
      <c r="C22" s="129" t="s">
        <v>288</v>
      </c>
      <c r="D22" s="28"/>
      <c r="E22" s="28"/>
      <c r="F22" s="28"/>
      <c r="G22" s="28"/>
      <c r="H22" s="28"/>
      <c r="I22" s="28"/>
      <c r="J22" s="28"/>
      <c r="K22" s="28"/>
    </row>
    <row r="23" spans="1:11" ht="24" customHeight="1" x14ac:dyDescent="0.3">
      <c r="A23" s="28"/>
      <c r="B23" s="33" t="s">
        <v>47</v>
      </c>
      <c r="C23" s="33" t="s">
        <v>46</v>
      </c>
      <c r="D23" s="28"/>
      <c r="E23" s="28"/>
      <c r="F23" s="28"/>
      <c r="G23" s="28"/>
      <c r="H23" s="28"/>
      <c r="I23" s="28"/>
      <c r="J23" s="28"/>
      <c r="K23" s="28"/>
    </row>
    <row r="24" spans="1:11" ht="24" customHeight="1" x14ac:dyDescent="0.3">
      <c r="A24" s="28"/>
      <c r="B24" s="33" t="s">
        <v>50</v>
      </c>
      <c r="C24" s="33" t="s">
        <v>49</v>
      </c>
      <c r="D24" s="28"/>
      <c r="E24" s="28"/>
      <c r="F24" s="28"/>
      <c r="G24" s="28"/>
      <c r="H24" s="28"/>
      <c r="I24" s="28"/>
      <c r="J24" s="28"/>
      <c r="K24" s="28"/>
    </row>
    <row r="25" spans="1:11" ht="24" customHeight="1" x14ac:dyDescent="0.3">
      <c r="A25" s="28"/>
      <c r="B25" s="33" t="s">
        <v>53</v>
      </c>
      <c r="C25" s="33" t="s">
        <v>52</v>
      </c>
      <c r="D25" s="28"/>
      <c r="E25" s="28"/>
      <c r="F25" s="28"/>
      <c r="G25" s="28"/>
      <c r="H25" s="28"/>
      <c r="I25" s="28"/>
      <c r="J25" s="28"/>
      <c r="K25" s="28"/>
    </row>
    <row r="26" spans="1:11" ht="24" customHeight="1" x14ac:dyDescent="0.3">
      <c r="A26" s="28"/>
      <c r="B26" s="33" t="s">
        <v>56</v>
      </c>
      <c r="C26" s="33" t="s">
        <v>55</v>
      </c>
      <c r="D26" s="28"/>
      <c r="E26" s="28"/>
      <c r="F26" s="28"/>
      <c r="G26" s="28"/>
      <c r="H26" s="28"/>
      <c r="I26" s="28"/>
      <c r="J26" s="28"/>
      <c r="K26" s="28"/>
    </row>
    <row r="27" spans="1:11" ht="24" customHeight="1" x14ac:dyDescent="0.3">
      <c r="A27" s="28"/>
      <c r="B27" s="33" t="s">
        <v>59</v>
      </c>
      <c r="C27" s="33" t="s">
        <v>58</v>
      </c>
      <c r="D27" s="28"/>
      <c r="E27" s="28"/>
      <c r="F27" s="28"/>
      <c r="G27" s="28"/>
      <c r="H27" s="28"/>
      <c r="I27" s="28"/>
      <c r="J27" s="28"/>
      <c r="K27" s="28"/>
    </row>
    <row r="28" spans="1:11" ht="24" customHeight="1" x14ac:dyDescent="0.3">
      <c r="A28" s="28"/>
      <c r="B28" s="33" t="s">
        <v>62</v>
      </c>
      <c r="C28" s="33" t="s">
        <v>61</v>
      </c>
      <c r="D28" s="28"/>
      <c r="E28" s="28"/>
      <c r="F28" s="28"/>
      <c r="G28" s="28"/>
      <c r="H28" s="28"/>
      <c r="I28" s="28"/>
      <c r="J28" s="28"/>
      <c r="K28" s="28"/>
    </row>
    <row r="29" spans="1:11" ht="24" customHeight="1" x14ac:dyDescent="0.3">
      <c r="A29" s="28"/>
      <c r="B29" s="33"/>
      <c r="C29" s="33"/>
      <c r="D29" s="28"/>
      <c r="E29" s="28"/>
      <c r="F29" s="28"/>
      <c r="G29" s="28"/>
      <c r="H29" s="28"/>
      <c r="I29" s="28"/>
      <c r="J29" s="28"/>
      <c r="K29" s="28"/>
    </row>
    <row r="30" spans="1:11" ht="48" customHeight="1" x14ac:dyDescent="0.3">
      <c r="A30" s="28"/>
      <c r="B30" s="133" t="s">
        <v>289</v>
      </c>
      <c r="C30" s="133" t="s">
        <v>290</v>
      </c>
      <c r="D30" s="28"/>
      <c r="E30" s="28"/>
      <c r="F30" s="28"/>
      <c r="G30" s="28"/>
      <c r="H30" s="28"/>
      <c r="I30" s="28"/>
      <c r="J30" s="28"/>
      <c r="K30" s="28"/>
    </row>
    <row r="31" spans="1:11" ht="48" customHeight="1" x14ac:dyDescent="0.3">
      <c r="A31" s="28"/>
      <c r="B31" s="133" t="s">
        <v>291</v>
      </c>
      <c r="C31" s="133" t="s">
        <v>322</v>
      </c>
      <c r="D31" s="28"/>
      <c r="E31" s="28"/>
      <c r="F31" s="28"/>
      <c r="G31" s="28"/>
      <c r="H31" s="28"/>
      <c r="I31" s="28"/>
      <c r="J31" s="28"/>
      <c r="K31" s="28"/>
    </row>
    <row r="32" spans="1:11" ht="48" customHeight="1" x14ac:dyDescent="0.3">
      <c r="A32" s="28"/>
      <c r="B32" s="133" t="s">
        <v>292</v>
      </c>
      <c r="C32" s="133" t="s">
        <v>293</v>
      </c>
      <c r="D32" s="28"/>
      <c r="E32" s="28"/>
      <c r="F32" s="28"/>
      <c r="G32" s="28"/>
      <c r="H32" s="28"/>
      <c r="I32" s="28"/>
      <c r="J32" s="28"/>
      <c r="K32" s="28"/>
    </row>
    <row r="33" spans="1:11" ht="48" customHeight="1" x14ac:dyDescent="0.3">
      <c r="A33" s="28"/>
      <c r="B33" s="133" t="s">
        <v>294</v>
      </c>
      <c r="C33" s="133" t="s">
        <v>544</v>
      </c>
      <c r="D33" s="28"/>
      <c r="E33" s="28"/>
      <c r="F33" s="28"/>
      <c r="G33" s="28"/>
      <c r="H33" s="28"/>
      <c r="I33" s="28"/>
      <c r="J33" s="28"/>
      <c r="K33" s="28"/>
    </row>
    <row r="34" spans="1:11" ht="24" customHeight="1" x14ac:dyDescent="0.3">
      <c r="A34" s="28"/>
      <c r="B34" s="33"/>
      <c r="C34" s="33"/>
      <c r="D34" s="28"/>
      <c r="E34" s="28"/>
      <c r="F34" s="28"/>
      <c r="G34" s="28"/>
      <c r="H34" s="28"/>
      <c r="I34" s="28"/>
      <c r="J34" s="28"/>
      <c r="K34" s="28"/>
    </row>
    <row r="35" spans="1:11" ht="24" customHeight="1" x14ac:dyDescent="0.3">
      <c r="A35" s="28"/>
      <c r="B35" s="33"/>
      <c r="C35" s="33"/>
      <c r="D35" s="28"/>
      <c r="E35" s="28"/>
      <c r="F35" s="28"/>
      <c r="G35" s="28"/>
      <c r="H35" s="28"/>
      <c r="I35" s="28"/>
      <c r="J35" s="28"/>
      <c r="K35" s="28"/>
    </row>
    <row r="36" spans="1:11" ht="24" customHeight="1" x14ac:dyDescent="0.3">
      <c r="A36" s="28"/>
      <c r="B36" s="33"/>
      <c r="C36" s="33"/>
      <c r="D36" s="28"/>
      <c r="E36" s="28"/>
      <c r="F36" s="28"/>
      <c r="G36" s="28"/>
      <c r="H36" s="28"/>
      <c r="I36" s="28"/>
      <c r="J36" s="28"/>
      <c r="K36" s="28"/>
    </row>
    <row r="37" spans="1:11" ht="24" customHeight="1" x14ac:dyDescent="0.3">
      <c r="A37" s="28"/>
      <c r="B37" s="33"/>
      <c r="C37" s="33"/>
      <c r="D37" s="28"/>
      <c r="E37" s="28"/>
      <c r="F37" s="28"/>
      <c r="G37" s="28"/>
      <c r="H37" s="28"/>
      <c r="I37" s="28"/>
      <c r="J37" s="28"/>
      <c r="K37" s="28"/>
    </row>
    <row r="38" spans="1:11" ht="24" customHeight="1" x14ac:dyDescent="0.3">
      <c r="A38" s="28"/>
      <c r="B38" s="33"/>
      <c r="C38" s="33"/>
      <c r="D38" s="28"/>
      <c r="E38" s="28"/>
      <c r="F38" s="28"/>
      <c r="G38" s="28"/>
      <c r="H38" s="28"/>
      <c r="I38" s="28"/>
      <c r="J38" s="28"/>
      <c r="K38" s="28"/>
    </row>
    <row r="39" spans="1:11" ht="24" customHeight="1" x14ac:dyDescent="0.3">
      <c r="A39" s="28"/>
      <c r="B39" s="33"/>
      <c r="C39" s="33"/>
      <c r="D39" s="28"/>
      <c r="E39" s="28"/>
      <c r="F39" s="28"/>
      <c r="G39" s="28"/>
      <c r="H39" s="28"/>
      <c r="I39" s="28"/>
      <c r="J39" s="28"/>
      <c r="K39" s="28"/>
    </row>
    <row r="40" spans="1:11" ht="24" customHeight="1" x14ac:dyDescent="0.3">
      <c r="A40" s="28"/>
      <c r="B40" s="33"/>
      <c r="C40" s="33"/>
      <c r="D40" s="28"/>
      <c r="E40" s="28"/>
      <c r="F40" s="28"/>
      <c r="G40" s="28"/>
      <c r="H40" s="28"/>
      <c r="I40" s="28"/>
      <c r="J40" s="28"/>
      <c r="K40" s="28"/>
    </row>
    <row r="41" spans="1:11" ht="24" customHeight="1" x14ac:dyDescent="0.3">
      <c r="A41" s="28"/>
      <c r="B41" s="33"/>
      <c r="C41" s="33"/>
      <c r="D41" s="28"/>
      <c r="E41" s="28"/>
      <c r="F41" s="28"/>
      <c r="G41" s="28"/>
      <c r="H41" s="28"/>
      <c r="I41" s="28"/>
      <c r="J41" s="28"/>
      <c r="K41" s="28"/>
    </row>
    <row r="42" spans="1:11" ht="24" customHeight="1" x14ac:dyDescent="0.3">
      <c r="A42" s="28"/>
      <c r="B42" s="33"/>
      <c r="C42" s="33"/>
      <c r="D42" s="28"/>
      <c r="E42" s="28"/>
      <c r="F42" s="28"/>
      <c r="G42" s="28"/>
      <c r="H42" s="28"/>
      <c r="I42" s="28"/>
      <c r="J42" s="28"/>
      <c r="K42" s="28"/>
    </row>
  </sheetData>
  <mergeCells count="1">
    <mergeCell ref="B2:C2"/>
  </mergeCells>
  <hyperlinks>
    <hyperlink ref="B3" location="'Watchlist'!A1" tooltip="Back to Watchlist" display="Back to Watchlist" xr:uid="{97FBC3A3-7D89-466B-8581-84EF423FE532}"/>
  </hyperlinks>
  <pageMargins left="0.27777777777777779" right="0.27777777777777779" top="0.27777777777777779" bottom="0.27777777777777779" header="0.3" footer="0.3"/>
  <pageSetup paperSize="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FADAD-6899-4249-ABBB-01A29CD8CE85}">
  <dimension ref="A1:D12"/>
  <sheetViews>
    <sheetView workbookViewId="0"/>
  </sheetViews>
  <sheetFormatPr defaultRowHeight="14.4" x14ac:dyDescent="0.3"/>
  <sheetData>
    <row r="1" spans="1:4" x14ac:dyDescent="0.3">
      <c r="A1" t="s">
        <v>416</v>
      </c>
      <c r="B1" t="s">
        <v>408</v>
      </c>
      <c r="C1" t="s">
        <v>470</v>
      </c>
      <c r="D1" t="s">
        <v>471</v>
      </c>
    </row>
    <row r="2" spans="1:4" x14ac:dyDescent="0.3">
      <c r="A2" t="s">
        <v>421</v>
      </c>
      <c r="B2" t="s">
        <v>472</v>
      </c>
      <c r="C2" t="s">
        <v>473</v>
      </c>
      <c r="D2" t="s">
        <v>474</v>
      </c>
    </row>
    <row r="3" spans="1:4" x14ac:dyDescent="0.3">
      <c r="A3" t="s">
        <v>424</v>
      </c>
      <c r="B3" t="s">
        <v>475</v>
      </c>
      <c r="C3" t="s">
        <v>476</v>
      </c>
      <c r="D3" t="s">
        <v>477</v>
      </c>
    </row>
    <row r="4" spans="1:4" x14ac:dyDescent="0.3">
      <c r="A4" t="s">
        <v>421</v>
      </c>
      <c r="B4" t="s">
        <v>478</v>
      </c>
      <c r="C4" t="s">
        <v>479</v>
      </c>
      <c r="D4" t="s">
        <v>480</v>
      </c>
    </row>
    <row r="5" spans="1:4" x14ac:dyDescent="0.3">
      <c r="A5" t="s">
        <v>421</v>
      </c>
      <c r="B5" t="s">
        <v>481</v>
      </c>
      <c r="C5" t="s">
        <v>482</v>
      </c>
      <c r="D5" t="s">
        <v>483</v>
      </c>
    </row>
    <row r="6" spans="1:4" x14ac:dyDescent="0.3">
      <c r="A6" t="s">
        <v>426</v>
      </c>
      <c r="B6" t="s">
        <v>484</v>
      </c>
      <c r="C6" t="s">
        <v>485</v>
      </c>
      <c r="D6" t="s">
        <v>486</v>
      </c>
    </row>
    <row r="7" spans="1:4" x14ac:dyDescent="0.3">
      <c r="A7" t="s">
        <v>421</v>
      </c>
      <c r="B7" t="s">
        <v>487</v>
      </c>
      <c r="C7" t="s">
        <v>488</v>
      </c>
      <c r="D7" t="s">
        <v>489</v>
      </c>
    </row>
    <row r="8" spans="1:4" x14ac:dyDescent="0.3">
      <c r="A8" t="s">
        <v>421</v>
      </c>
      <c r="B8" t="s">
        <v>490</v>
      </c>
      <c r="C8" t="s">
        <v>491</v>
      </c>
      <c r="D8" t="s">
        <v>492</v>
      </c>
    </row>
    <row r="9" spans="1:4" x14ac:dyDescent="0.3">
      <c r="A9" t="s">
        <v>421</v>
      </c>
      <c r="B9" t="s">
        <v>493</v>
      </c>
      <c r="C9" t="s">
        <v>494</v>
      </c>
      <c r="D9" t="s">
        <v>495</v>
      </c>
    </row>
    <row r="10" spans="1:4" x14ac:dyDescent="0.3">
      <c r="A10" t="s">
        <v>424</v>
      </c>
      <c r="B10" t="s">
        <v>496</v>
      </c>
      <c r="C10" t="s">
        <v>497</v>
      </c>
      <c r="D10" t="s">
        <v>498</v>
      </c>
    </row>
    <row r="11" spans="1:4" x14ac:dyDescent="0.3">
      <c r="A11" t="s">
        <v>426</v>
      </c>
      <c r="B11" t="s">
        <v>499</v>
      </c>
      <c r="C11" t="s">
        <v>500</v>
      </c>
      <c r="D11" t="s">
        <v>501</v>
      </c>
    </row>
    <row r="12" spans="1:4" x14ac:dyDescent="0.3">
      <c r="A12" t="s">
        <v>426</v>
      </c>
      <c r="B12" t="s">
        <v>472</v>
      </c>
      <c r="C12" t="s">
        <v>502</v>
      </c>
      <c r="D12" t="s">
        <v>474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FF20-ED0D-4D86-846B-8665043F447C}">
  <dimension ref="A1:O2001"/>
  <sheetViews>
    <sheetView workbookViewId="0"/>
  </sheetViews>
  <sheetFormatPr defaultRowHeight="14.4" x14ac:dyDescent="0.3"/>
  <cols>
    <col min="1" max="1" width="29.88671875" bestFit="1" customWidth="1"/>
    <col min="4" max="4" width="15.88671875" style="201" bestFit="1" customWidth="1"/>
    <col min="12" max="12" width="18.5546875" style="202" bestFit="1" customWidth="1"/>
  </cols>
  <sheetData>
    <row r="1" spans="1:15" x14ac:dyDescent="0.3">
      <c r="A1" t="s">
        <v>504</v>
      </c>
      <c r="B1" t="s">
        <v>416</v>
      </c>
      <c r="C1" t="s">
        <v>401</v>
      </c>
      <c r="D1" s="201" t="s">
        <v>505</v>
      </c>
      <c r="E1" t="s">
        <v>408</v>
      </c>
      <c r="F1" t="s">
        <v>506</v>
      </c>
      <c r="G1" t="s">
        <v>507</v>
      </c>
      <c r="H1" t="s">
        <v>470</v>
      </c>
      <c r="I1" t="s">
        <v>508</v>
      </c>
      <c r="J1" t="s">
        <v>509</v>
      </c>
      <c r="K1" t="s">
        <v>510</v>
      </c>
      <c r="L1" s="202" t="s">
        <v>166</v>
      </c>
      <c r="M1" t="s">
        <v>511</v>
      </c>
      <c r="N1" t="s">
        <v>512</v>
      </c>
    </row>
    <row r="2" spans="1:15" x14ac:dyDescent="0.3">
      <c r="A2" s="200" t="s">
        <v>513</v>
      </c>
      <c r="B2" s="200" t="s">
        <v>514</v>
      </c>
      <c r="C2" s="200" t="s">
        <v>514</v>
      </c>
      <c r="E2" s="200" t="s">
        <v>514</v>
      </c>
      <c r="F2" s="200" t="s">
        <v>514</v>
      </c>
      <c r="G2" s="200" t="s">
        <v>514</v>
      </c>
      <c r="H2" s="200" t="s">
        <v>514</v>
      </c>
      <c r="I2" s="200" t="s">
        <v>515</v>
      </c>
      <c r="J2">
        <v>10</v>
      </c>
      <c r="K2">
        <v>0</v>
      </c>
      <c r="L2" s="202">
        <v>46286.964552048608</v>
      </c>
      <c r="M2" s="200" t="s">
        <v>404</v>
      </c>
      <c r="N2" s="200" t="s">
        <v>516</v>
      </c>
      <c r="O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" spans="1:15" x14ac:dyDescent="0.3">
      <c r="A3" s="200" t="s">
        <v>517</v>
      </c>
      <c r="B3" s="200" t="s">
        <v>421</v>
      </c>
      <c r="C3" s="200" t="s">
        <v>422</v>
      </c>
      <c r="E3" s="200" t="s">
        <v>514</v>
      </c>
      <c r="F3" s="200" t="s">
        <v>514</v>
      </c>
      <c r="G3" s="200" t="s">
        <v>514</v>
      </c>
      <c r="H3" s="200" t="s">
        <v>514</v>
      </c>
      <c r="I3" s="200" t="s">
        <v>515</v>
      </c>
      <c r="J3">
        <v>6</v>
      </c>
      <c r="K3">
        <v>0</v>
      </c>
      <c r="L3" s="202">
        <v>46286.964552048608</v>
      </c>
      <c r="M3" s="200" t="s">
        <v>404</v>
      </c>
      <c r="N3" s="200" t="s">
        <v>516</v>
      </c>
      <c r="O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" spans="1:15" x14ac:dyDescent="0.3">
      <c r="A4" s="200" t="s">
        <v>517</v>
      </c>
      <c r="B4" s="200" t="s">
        <v>424</v>
      </c>
      <c r="C4" s="200" t="s">
        <v>422</v>
      </c>
      <c r="E4" s="200" t="s">
        <v>514</v>
      </c>
      <c r="F4" s="200" t="s">
        <v>514</v>
      </c>
      <c r="G4" s="200" t="s">
        <v>514</v>
      </c>
      <c r="H4" s="200" t="s">
        <v>514</v>
      </c>
      <c r="I4" s="200" t="s">
        <v>515</v>
      </c>
      <c r="J4">
        <v>2</v>
      </c>
      <c r="K4">
        <v>0</v>
      </c>
      <c r="L4" s="202">
        <v>46286.964552048608</v>
      </c>
      <c r="M4" s="200" t="s">
        <v>404</v>
      </c>
      <c r="N4" s="200" t="s">
        <v>516</v>
      </c>
      <c r="O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" spans="1:15" x14ac:dyDescent="0.3">
      <c r="A5" s="200" t="s">
        <v>517</v>
      </c>
      <c r="B5" s="200" t="s">
        <v>426</v>
      </c>
      <c r="C5" s="200" t="s">
        <v>422</v>
      </c>
      <c r="E5" s="200" t="s">
        <v>514</v>
      </c>
      <c r="F5" s="200" t="s">
        <v>514</v>
      </c>
      <c r="G5" s="200" t="s">
        <v>514</v>
      </c>
      <c r="H5" s="200" t="s">
        <v>514</v>
      </c>
      <c r="I5" s="200" t="s">
        <v>515</v>
      </c>
      <c r="J5">
        <v>3</v>
      </c>
      <c r="K5">
        <v>0</v>
      </c>
      <c r="L5" s="202">
        <v>46286.964552048608</v>
      </c>
      <c r="M5" s="200" t="s">
        <v>404</v>
      </c>
      <c r="N5" s="200" t="s">
        <v>516</v>
      </c>
      <c r="O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" spans="1:15" x14ac:dyDescent="0.3">
      <c r="A6" s="200" t="s">
        <v>411</v>
      </c>
      <c r="B6" s="200" t="s">
        <v>421</v>
      </c>
      <c r="C6" s="200" t="s">
        <v>422</v>
      </c>
      <c r="D6" s="201">
        <v>46283.638888888891</v>
      </c>
      <c r="E6" s="200" t="s">
        <v>472</v>
      </c>
      <c r="F6" s="200" t="s">
        <v>518</v>
      </c>
      <c r="G6" s="200" t="s">
        <v>519</v>
      </c>
      <c r="H6" s="200" t="s">
        <v>473</v>
      </c>
      <c r="I6" s="200" t="s">
        <v>515</v>
      </c>
      <c r="J6">
        <v>0</v>
      </c>
      <c r="K6">
        <v>0</v>
      </c>
      <c r="L6" s="202">
        <v>46286.964552048608</v>
      </c>
      <c r="M6" s="200" t="s">
        <v>404</v>
      </c>
      <c r="N6" s="200" t="s">
        <v>516</v>
      </c>
      <c r="O6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5</v>
      </c>
    </row>
    <row r="7" spans="1:15" x14ac:dyDescent="0.3">
      <c r="A7" s="200" t="s">
        <v>411</v>
      </c>
      <c r="B7" s="200" t="s">
        <v>424</v>
      </c>
      <c r="C7" s="200" t="s">
        <v>422</v>
      </c>
      <c r="D7" s="201">
        <v>46283.618055555555</v>
      </c>
      <c r="E7" s="200" t="s">
        <v>475</v>
      </c>
      <c r="F7" s="200" t="s">
        <v>520</v>
      </c>
      <c r="G7" s="200" t="s">
        <v>521</v>
      </c>
      <c r="H7" s="200" t="s">
        <v>476</v>
      </c>
      <c r="I7" s="200" t="s">
        <v>515</v>
      </c>
      <c r="J7">
        <v>0</v>
      </c>
      <c r="K7">
        <v>0</v>
      </c>
      <c r="L7" s="202">
        <v>46286.964552048608</v>
      </c>
      <c r="M7" s="200" t="s">
        <v>404</v>
      </c>
      <c r="N7" s="200" t="s">
        <v>516</v>
      </c>
      <c r="O7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6</v>
      </c>
    </row>
    <row r="8" spans="1:15" x14ac:dyDescent="0.3">
      <c r="A8" s="200" t="s">
        <v>411</v>
      </c>
      <c r="B8" s="200" t="s">
        <v>421</v>
      </c>
      <c r="C8" s="200" t="s">
        <v>422</v>
      </c>
      <c r="D8" s="201">
        <v>46283.583333333336</v>
      </c>
      <c r="E8" s="200" t="s">
        <v>478</v>
      </c>
      <c r="F8" s="200" t="s">
        <v>522</v>
      </c>
      <c r="G8" s="200" t="s">
        <v>523</v>
      </c>
      <c r="H8" s="200" t="s">
        <v>479</v>
      </c>
      <c r="I8" s="200" t="s">
        <v>515</v>
      </c>
      <c r="J8">
        <v>0</v>
      </c>
      <c r="K8">
        <v>0</v>
      </c>
      <c r="L8" s="202">
        <v>46286.964552048608</v>
      </c>
      <c r="M8" s="200" t="s">
        <v>404</v>
      </c>
      <c r="N8" s="200" t="s">
        <v>516</v>
      </c>
      <c r="O8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7</v>
      </c>
    </row>
    <row r="9" spans="1:15" x14ac:dyDescent="0.3">
      <c r="A9" s="200" t="s">
        <v>411</v>
      </c>
      <c r="B9" s="200" t="s">
        <v>421</v>
      </c>
      <c r="C9" s="200" t="s">
        <v>422</v>
      </c>
      <c r="D9" s="201">
        <v>46283.5625</v>
      </c>
      <c r="E9" s="200" t="s">
        <v>481</v>
      </c>
      <c r="F9" s="200" t="s">
        <v>524</v>
      </c>
      <c r="G9" s="200" t="s">
        <v>525</v>
      </c>
      <c r="H9" s="200" t="s">
        <v>482</v>
      </c>
      <c r="I9" s="200" t="s">
        <v>515</v>
      </c>
      <c r="J9">
        <v>0</v>
      </c>
      <c r="K9">
        <v>0</v>
      </c>
      <c r="L9" s="202">
        <v>46286.964552048608</v>
      </c>
      <c r="M9" s="200" t="s">
        <v>404</v>
      </c>
      <c r="N9" s="200" t="s">
        <v>516</v>
      </c>
      <c r="O9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8</v>
      </c>
    </row>
    <row r="10" spans="1:15" x14ac:dyDescent="0.3">
      <c r="A10" s="200" t="s">
        <v>411</v>
      </c>
      <c r="B10" s="200" t="s">
        <v>426</v>
      </c>
      <c r="C10" s="200" t="s">
        <v>422</v>
      </c>
      <c r="D10" s="201">
        <v>46283.541666666664</v>
      </c>
      <c r="E10" s="200" t="s">
        <v>484</v>
      </c>
      <c r="F10" s="200" t="s">
        <v>526</v>
      </c>
      <c r="G10" s="200" t="s">
        <v>527</v>
      </c>
      <c r="H10" s="200" t="s">
        <v>485</v>
      </c>
      <c r="I10" s="200" t="s">
        <v>515</v>
      </c>
      <c r="J10">
        <v>0</v>
      </c>
      <c r="K10">
        <v>0</v>
      </c>
      <c r="L10" s="202">
        <v>46286.964552048608</v>
      </c>
      <c r="M10" s="200" t="s">
        <v>404</v>
      </c>
      <c r="N10" s="200" t="s">
        <v>516</v>
      </c>
      <c r="O10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9</v>
      </c>
    </row>
    <row r="11" spans="1:15" x14ac:dyDescent="0.3">
      <c r="A11" s="200" t="s">
        <v>411</v>
      </c>
      <c r="B11" s="200" t="s">
        <v>421</v>
      </c>
      <c r="C11" s="200" t="s">
        <v>422</v>
      </c>
      <c r="D11" s="201">
        <v>46283.520833333336</v>
      </c>
      <c r="E11" s="200" t="s">
        <v>487</v>
      </c>
      <c r="F11" s="200" t="s">
        <v>528</v>
      </c>
      <c r="G11" s="200" t="s">
        <v>529</v>
      </c>
      <c r="H11" s="200" t="s">
        <v>488</v>
      </c>
      <c r="I11" s="200" t="s">
        <v>515</v>
      </c>
      <c r="J11">
        <v>0</v>
      </c>
      <c r="K11">
        <v>0</v>
      </c>
      <c r="L11" s="202">
        <v>46286.964552048608</v>
      </c>
      <c r="M11" s="200" t="s">
        <v>404</v>
      </c>
      <c r="N11" s="200" t="s">
        <v>516</v>
      </c>
      <c r="O11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10</v>
      </c>
    </row>
    <row r="12" spans="1:15" x14ac:dyDescent="0.3">
      <c r="A12" s="200" t="s">
        <v>411</v>
      </c>
      <c r="B12" s="200" t="s">
        <v>421</v>
      </c>
      <c r="C12" s="200" t="s">
        <v>422</v>
      </c>
      <c r="D12" s="201">
        <v>46283.5</v>
      </c>
      <c r="E12" s="200" t="s">
        <v>490</v>
      </c>
      <c r="F12" s="200" t="s">
        <v>530</v>
      </c>
      <c r="G12" s="200" t="s">
        <v>531</v>
      </c>
      <c r="H12" s="200" t="s">
        <v>491</v>
      </c>
      <c r="I12" s="200" t="s">
        <v>515</v>
      </c>
      <c r="J12">
        <v>0</v>
      </c>
      <c r="K12">
        <v>0</v>
      </c>
      <c r="L12" s="202">
        <v>46286.964552048608</v>
      </c>
      <c r="M12" s="200" t="s">
        <v>404</v>
      </c>
      <c r="N12" s="200" t="s">
        <v>516</v>
      </c>
      <c r="O12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11</v>
      </c>
    </row>
    <row r="13" spans="1:15" x14ac:dyDescent="0.3">
      <c r="A13" s="200" t="s">
        <v>411</v>
      </c>
      <c r="B13" s="200" t="s">
        <v>421</v>
      </c>
      <c r="C13" s="200" t="s">
        <v>422</v>
      </c>
      <c r="D13" s="201">
        <v>46283.479166666664</v>
      </c>
      <c r="E13" s="200" t="s">
        <v>493</v>
      </c>
      <c r="F13" s="200" t="s">
        <v>532</v>
      </c>
      <c r="G13" s="200" t="s">
        <v>533</v>
      </c>
      <c r="H13" s="200" t="s">
        <v>494</v>
      </c>
      <c r="I13" s="200" t="s">
        <v>515</v>
      </c>
      <c r="J13">
        <v>0</v>
      </c>
      <c r="K13">
        <v>0</v>
      </c>
      <c r="L13" s="202">
        <v>46286.964552048608</v>
      </c>
      <c r="M13" s="200" t="s">
        <v>404</v>
      </c>
      <c r="N13" s="200" t="s">
        <v>516</v>
      </c>
      <c r="O13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12</v>
      </c>
    </row>
    <row r="14" spans="1:15" x14ac:dyDescent="0.3">
      <c r="A14" s="200" t="s">
        <v>411</v>
      </c>
      <c r="B14" s="200" t="s">
        <v>424</v>
      </c>
      <c r="C14" s="200" t="s">
        <v>422</v>
      </c>
      <c r="D14" s="201">
        <v>46283.458333333336</v>
      </c>
      <c r="E14" s="200" t="s">
        <v>496</v>
      </c>
      <c r="F14" s="200" t="s">
        <v>534</v>
      </c>
      <c r="G14" s="200" t="s">
        <v>535</v>
      </c>
      <c r="H14" s="200" t="s">
        <v>497</v>
      </c>
      <c r="I14" s="200" t="s">
        <v>515</v>
      </c>
      <c r="J14">
        <v>0</v>
      </c>
      <c r="K14">
        <v>0</v>
      </c>
      <c r="L14" s="202">
        <v>46286.964552048608</v>
      </c>
      <c r="M14" s="200" t="s">
        <v>404</v>
      </c>
      <c r="N14" s="200" t="s">
        <v>516</v>
      </c>
      <c r="O14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13</v>
      </c>
    </row>
    <row r="15" spans="1:15" x14ac:dyDescent="0.3">
      <c r="A15" s="200" t="s">
        <v>411</v>
      </c>
      <c r="B15" s="200" t="s">
        <v>426</v>
      </c>
      <c r="C15" s="200" t="s">
        <v>422</v>
      </c>
      <c r="D15" s="201">
        <v>46283.416666666664</v>
      </c>
      <c r="E15" s="200" t="s">
        <v>499</v>
      </c>
      <c r="F15" s="200" t="s">
        <v>536</v>
      </c>
      <c r="G15" s="200" t="s">
        <v>537</v>
      </c>
      <c r="H15" s="200" t="s">
        <v>500</v>
      </c>
      <c r="I15" s="200" t="s">
        <v>515</v>
      </c>
      <c r="J15">
        <v>0</v>
      </c>
      <c r="K15">
        <v>0</v>
      </c>
      <c r="L15" s="202">
        <v>46286.964552048608</v>
      </c>
      <c r="M15" s="200" t="s">
        <v>404</v>
      </c>
      <c r="N15" s="200" t="s">
        <v>516</v>
      </c>
      <c r="O15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>14</v>
      </c>
    </row>
    <row r="16" spans="1:15" x14ac:dyDescent="0.3">
      <c r="O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" spans="15:15" x14ac:dyDescent="0.3">
      <c r="O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" spans="15:15" x14ac:dyDescent="0.3">
      <c r="O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" spans="15:15" x14ac:dyDescent="0.3">
      <c r="O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" spans="15:15" x14ac:dyDescent="0.3">
      <c r="O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" spans="15:15" x14ac:dyDescent="0.3">
      <c r="O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" spans="15:15" x14ac:dyDescent="0.3">
      <c r="O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" spans="15:15" x14ac:dyDescent="0.3">
      <c r="O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" spans="15:15" x14ac:dyDescent="0.3">
      <c r="O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" spans="15:15" x14ac:dyDescent="0.3">
      <c r="O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" spans="15:15" x14ac:dyDescent="0.3">
      <c r="O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" spans="15:15" x14ac:dyDescent="0.3">
      <c r="O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" spans="15:15" x14ac:dyDescent="0.3">
      <c r="O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" spans="15:15" x14ac:dyDescent="0.3">
      <c r="O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" spans="15:15" x14ac:dyDescent="0.3">
      <c r="O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" spans="15:15" x14ac:dyDescent="0.3">
      <c r="O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" spans="15:15" x14ac:dyDescent="0.3">
      <c r="O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" spans="15:15" x14ac:dyDescent="0.3">
      <c r="O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" spans="15:15" x14ac:dyDescent="0.3">
      <c r="O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" spans="15:15" x14ac:dyDescent="0.3">
      <c r="O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" spans="15:15" x14ac:dyDescent="0.3">
      <c r="O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" spans="15:15" x14ac:dyDescent="0.3">
      <c r="O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" spans="15:15" x14ac:dyDescent="0.3">
      <c r="O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" spans="15:15" x14ac:dyDescent="0.3">
      <c r="O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" spans="15:15" x14ac:dyDescent="0.3">
      <c r="O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" spans="15:15" x14ac:dyDescent="0.3">
      <c r="O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" spans="15:15" x14ac:dyDescent="0.3">
      <c r="O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" spans="15:15" x14ac:dyDescent="0.3">
      <c r="O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" spans="15:15" x14ac:dyDescent="0.3">
      <c r="O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" spans="15:15" x14ac:dyDescent="0.3">
      <c r="O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" spans="15:15" x14ac:dyDescent="0.3">
      <c r="O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" spans="15:15" x14ac:dyDescent="0.3">
      <c r="O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" spans="15:15" x14ac:dyDescent="0.3">
      <c r="O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" spans="15:15" x14ac:dyDescent="0.3">
      <c r="O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" spans="15:15" x14ac:dyDescent="0.3">
      <c r="O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" spans="15:15" x14ac:dyDescent="0.3">
      <c r="O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" spans="15:15" x14ac:dyDescent="0.3">
      <c r="O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" spans="15:15" x14ac:dyDescent="0.3">
      <c r="O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" spans="15:15" x14ac:dyDescent="0.3">
      <c r="O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" spans="15:15" x14ac:dyDescent="0.3">
      <c r="O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" spans="15:15" x14ac:dyDescent="0.3">
      <c r="O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" spans="15:15" x14ac:dyDescent="0.3">
      <c r="O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" spans="15:15" x14ac:dyDescent="0.3">
      <c r="O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" spans="15:15" x14ac:dyDescent="0.3">
      <c r="O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" spans="15:15" x14ac:dyDescent="0.3">
      <c r="O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" spans="15:15" x14ac:dyDescent="0.3">
      <c r="O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" spans="15:15" x14ac:dyDescent="0.3">
      <c r="O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" spans="15:15" x14ac:dyDescent="0.3">
      <c r="O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" spans="15:15" x14ac:dyDescent="0.3">
      <c r="O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" spans="15:15" x14ac:dyDescent="0.3">
      <c r="O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" spans="15:15" x14ac:dyDescent="0.3">
      <c r="O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" spans="15:15" x14ac:dyDescent="0.3">
      <c r="O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" spans="15:15" x14ac:dyDescent="0.3">
      <c r="O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" spans="15:15" x14ac:dyDescent="0.3">
      <c r="O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" spans="15:15" x14ac:dyDescent="0.3">
      <c r="O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" spans="15:15" x14ac:dyDescent="0.3">
      <c r="O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" spans="15:15" x14ac:dyDescent="0.3">
      <c r="O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" spans="15:15" x14ac:dyDescent="0.3">
      <c r="O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" spans="15:15" x14ac:dyDescent="0.3">
      <c r="O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" spans="15:15" x14ac:dyDescent="0.3">
      <c r="O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" spans="15:15" x14ac:dyDescent="0.3">
      <c r="O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" spans="15:15" x14ac:dyDescent="0.3">
      <c r="O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" spans="15:15" x14ac:dyDescent="0.3">
      <c r="O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" spans="15:15" x14ac:dyDescent="0.3">
      <c r="O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" spans="15:15" x14ac:dyDescent="0.3">
      <c r="O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" spans="15:15" x14ac:dyDescent="0.3">
      <c r="O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" spans="15:15" x14ac:dyDescent="0.3">
      <c r="O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" spans="15:15" x14ac:dyDescent="0.3">
      <c r="O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" spans="15:15" x14ac:dyDescent="0.3">
      <c r="O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" spans="15:15" x14ac:dyDescent="0.3">
      <c r="O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" spans="15:15" x14ac:dyDescent="0.3">
      <c r="O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" spans="15:15" x14ac:dyDescent="0.3">
      <c r="O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" spans="15:15" x14ac:dyDescent="0.3">
      <c r="O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" spans="15:15" x14ac:dyDescent="0.3">
      <c r="O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" spans="15:15" x14ac:dyDescent="0.3">
      <c r="O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" spans="15:15" x14ac:dyDescent="0.3">
      <c r="O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" spans="15:15" x14ac:dyDescent="0.3">
      <c r="O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" spans="15:15" x14ac:dyDescent="0.3">
      <c r="O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" spans="15:15" x14ac:dyDescent="0.3">
      <c r="O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" spans="15:15" x14ac:dyDescent="0.3">
      <c r="O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" spans="15:15" x14ac:dyDescent="0.3">
      <c r="O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" spans="15:15" x14ac:dyDescent="0.3">
      <c r="O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" spans="15:15" x14ac:dyDescent="0.3">
      <c r="O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" spans="15:15" x14ac:dyDescent="0.3">
      <c r="O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" spans="15:15" x14ac:dyDescent="0.3">
      <c r="O1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" spans="15:15" x14ac:dyDescent="0.3">
      <c r="O1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" spans="15:15" x14ac:dyDescent="0.3">
      <c r="O1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" spans="15:15" x14ac:dyDescent="0.3">
      <c r="O1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" spans="15:15" x14ac:dyDescent="0.3">
      <c r="O1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" spans="15:15" x14ac:dyDescent="0.3">
      <c r="O1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" spans="15:15" x14ac:dyDescent="0.3">
      <c r="O1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" spans="15:15" x14ac:dyDescent="0.3">
      <c r="O1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" spans="15:15" x14ac:dyDescent="0.3">
      <c r="O1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" spans="15:15" x14ac:dyDescent="0.3">
      <c r="O1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" spans="15:15" x14ac:dyDescent="0.3">
      <c r="O1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" spans="15:15" x14ac:dyDescent="0.3">
      <c r="O1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" spans="15:15" x14ac:dyDescent="0.3">
      <c r="O1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" spans="15:15" x14ac:dyDescent="0.3">
      <c r="O1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" spans="15:15" x14ac:dyDescent="0.3">
      <c r="O1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" spans="15:15" x14ac:dyDescent="0.3">
      <c r="O1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" spans="15:15" x14ac:dyDescent="0.3">
      <c r="O1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" spans="15:15" x14ac:dyDescent="0.3">
      <c r="O1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" spans="15:15" x14ac:dyDescent="0.3">
      <c r="O1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" spans="15:15" x14ac:dyDescent="0.3">
      <c r="O1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" spans="15:15" x14ac:dyDescent="0.3">
      <c r="O1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" spans="15:15" x14ac:dyDescent="0.3">
      <c r="O1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" spans="15:15" x14ac:dyDescent="0.3">
      <c r="O1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" spans="15:15" x14ac:dyDescent="0.3">
      <c r="O1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" spans="15:15" x14ac:dyDescent="0.3">
      <c r="O1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" spans="15:15" x14ac:dyDescent="0.3">
      <c r="O1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" spans="15:15" x14ac:dyDescent="0.3">
      <c r="O1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" spans="15:15" x14ac:dyDescent="0.3">
      <c r="O1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" spans="15:15" x14ac:dyDescent="0.3">
      <c r="O1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" spans="15:15" x14ac:dyDescent="0.3">
      <c r="O1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" spans="15:15" x14ac:dyDescent="0.3">
      <c r="O1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" spans="15:15" x14ac:dyDescent="0.3">
      <c r="O1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" spans="15:15" x14ac:dyDescent="0.3">
      <c r="O1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" spans="15:15" x14ac:dyDescent="0.3">
      <c r="O1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" spans="15:15" x14ac:dyDescent="0.3">
      <c r="O1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" spans="15:15" x14ac:dyDescent="0.3">
      <c r="O1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" spans="15:15" x14ac:dyDescent="0.3">
      <c r="O1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" spans="15:15" x14ac:dyDescent="0.3">
      <c r="O1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" spans="15:15" x14ac:dyDescent="0.3">
      <c r="O1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" spans="15:15" x14ac:dyDescent="0.3">
      <c r="O1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" spans="15:15" x14ac:dyDescent="0.3">
      <c r="O1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" spans="15:15" x14ac:dyDescent="0.3">
      <c r="O1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" spans="15:15" x14ac:dyDescent="0.3">
      <c r="O1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" spans="15:15" x14ac:dyDescent="0.3">
      <c r="O1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" spans="15:15" x14ac:dyDescent="0.3">
      <c r="O1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" spans="15:15" x14ac:dyDescent="0.3">
      <c r="O1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" spans="15:15" x14ac:dyDescent="0.3">
      <c r="O1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" spans="15:15" x14ac:dyDescent="0.3">
      <c r="O1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" spans="15:15" x14ac:dyDescent="0.3">
      <c r="O1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" spans="15:15" x14ac:dyDescent="0.3">
      <c r="O1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" spans="15:15" x14ac:dyDescent="0.3">
      <c r="O1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" spans="15:15" x14ac:dyDescent="0.3">
      <c r="O1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" spans="15:15" x14ac:dyDescent="0.3">
      <c r="O1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" spans="15:15" x14ac:dyDescent="0.3">
      <c r="O1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" spans="15:15" x14ac:dyDescent="0.3">
      <c r="O1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" spans="15:15" x14ac:dyDescent="0.3">
      <c r="O1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" spans="15:15" x14ac:dyDescent="0.3">
      <c r="O1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" spans="15:15" x14ac:dyDescent="0.3">
      <c r="O1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" spans="15:15" x14ac:dyDescent="0.3">
      <c r="O1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" spans="15:15" x14ac:dyDescent="0.3">
      <c r="O1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" spans="15:15" x14ac:dyDescent="0.3">
      <c r="O1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" spans="15:15" x14ac:dyDescent="0.3">
      <c r="O1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" spans="15:15" x14ac:dyDescent="0.3">
      <c r="O1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" spans="15:15" x14ac:dyDescent="0.3">
      <c r="O1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" spans="15:15" x14ac:dyDescent="0.3">
      <c r="O1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" spans="15:15" x14ac:dyDescent="0.3">
      <c r="O1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" spans="15:15" x14ac:dyDescent="0.3">
      <c r="O1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" spans="15:15" x14ac:dyDescent="0.3">
      <c r="O1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" spans="15:15" x14ac:dyDescent="0.3">
      <c r="O1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" spans="15:15" x14ac:dyDescent="0.3">
      <c r="O1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" spans="15:15" x14ac:dyDescent="0.3">
      <c r="O1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" spans="15:15" x14ac:dyDescent="0.3">
      <c r="O1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" spans="15:15" x14ac:dyDescent="0.3">
      <c r="O1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" spans="15:15" x14ac:dyDescent="0.3">
      <c r="O1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" spans="15:15" x14ac:dyDescent="0.3">
      <c r="O1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" spans="15:15" x14ac:dyDescent="0.3">
      <c r="O1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" spans="15:15" x14ac:dyDescent="0.3">
      <c r="O1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" spans="15:15" x14ac:dyDescent="0.3">
      <c r="O1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" spans="15:15" x14ac:dyDescent="0.3">
      <c r="O1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" spans="15:15" x14ac:dyDescent="0.3">
      <c r="O1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" spans="15:15" x14ac:dyDescent="0.3">
      <c r="O1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" spans="15:15" x14ac:dyDescent="0.3">
      <c r="O1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" spans="15:15" x14ac:dyDescent="0.3">
      <c r="O1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" spans="15:15" x14ac:dyDescent="0.3">
      <c r="O1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" spans="15:15" x14ac:dyDescent="0.3">
      <c r="O1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" spans="15:15" x14ac:dyDescent="0.3">
      <c r="O1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" spans="15:15" x14ac:dyDescent="0.3">
      <c r="O1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" spans="15:15" x14ac:dyDescent="0.3">
      <c r="O1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" spans="15:15" x14ac:dyDescent="0.3">
      <c r="O1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" spans="15:15" x14ac:dyDescent="0.3">
      <c r="O1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" spans="15:15" x14ac:dyDescent="0.3">
      <c r="O1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" spans="15:15" x14ac:dyDescent="0.3">
      <c r="O1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" spans="15:15" x14ac:dyDescent="0.3">
      <c r="O1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" spans="15:15" x14ac:dyDescent="0.3">
      <c r="O1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" spans="15:15" x14ac:dyDescent="0.3">
      <c r="O1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" spans="15:15" x14ac:dyDescent="0.3">
      <c r="O1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" spans="15:15" x14ac:dyDescent="0.3">
      <c r="O1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" spans="15:15" x14ac:dyDescent="0.3">
      <c r="O1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" spans="15:15" x14ac:dyDescent="0.3">
      <c r="O1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" spans="15:15" x14ac:dyDescent="0.3">
      <c r="O1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0" spans="15:15" x14ac:dyDescent="0.3">
      <c r="O2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1" spans="15:15" x14ac:dyDescent="0.3">
      <c r="O2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2" spans="15:15" x14ac:dyDescent="0.3">
      <c r="O2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3" spans="15:15" x14ac:dyDescent="0.3">
      <c r="O2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4" spans="15:15" x14ac:dyDescent="0.3">
      <c r="O2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5" spans="15:15" x14ac:dyDescent="0.3">
      <c r="O2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6" spans="15:15" x14ac:dyDescent="0.3">
      <c r="O2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7" spans="15:15" x14ac:dyDescent="0.3">
      <c r="O2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8" spans="15:15" x14ac:dyDescent="0.3">
      <c r="O2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9" spans="15:15" x14ac:dyDescent="0.3">
      <c r="O2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0" spans="15:15" x14ac:dyDescent="0.3">
      <c r="O2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1" spans="15:15" x14ac:dyDescent="0.3">
      <c r="O2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2" spans="15:15" x14ac:dyDescent="0.3">
      <c r="O2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3" spans="15:15" x14ac:dyDescent="0.3">
      <c r="O2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4" spans="15:15" x14ac:dyDescent="0.3">
      <c r="O2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5" spans="15:15" x14ac:dyDescent="0.3">
      <c r="O2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6" spans="15:15" x14ac:dyDescent="0.3">
      <c r="O2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7" spans="15:15" x14ac:dyDescent="0.3">
      <c r="O2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8" spans="15:15" x14ac:dyDescent="0.3">
      <c r="O2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19" spans="15:15" x14ac:dyDescent="0.3">
      <c r="O2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0" spans="15:15" x14ac:dyDescent="0.3">
      <c r="O2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1" spans="15:15" x14ac:dyDescent="0.3">
      <c r="O2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2" spans="15:15" x14ac:dyDescent="0.3">
      <c r="O2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3" spans="15:15" x14ac:dyDescent="0.3">
      <c r="O2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4" spans="15:15" x14ac:dyDescent="0.3">
      <c r="O2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5" spans="15:15" x14ac:dyDescent="0.3">
      <c r="O2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6" spans="15:15" x14ac:dyDescent="0.3">
      <c r="O2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7" spans="15:15" x14ac:dyDescent="0.3">
      <c r="O2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8" spans="15:15" x14ac:dyDescent="0.3">
      <c r="O2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29" spans="15:15" x14ac:dyDescent="0.3">
      <c r="O2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0" spans="15:15" x14ac:dyDescent="0.3">
      <c r="O2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1" spans="15:15" x14ac:dyDescent="0.3">
      <c r="O2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2" spans="15:15" x14ac:dyDescent="0.3">
      <c r="O2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3" spans="15:15" x14ac:dyDescent="0.3">
      <c r="O2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4" spans="15:15" x14ac:dyDescent="0.3">
      <c r="O2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5" spans="15:15" x14ac:dyDescent="0.3">
      <c r="O2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6" spans="15:15" x14ac:dyDescent="0.3">
      <c r="O2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7" spans="15:15" x14ac:dyDescent="0.3">
      <c r="O2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8" spans="15:15" x14ac:dyDescent="0.3">
      <c r="O2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39" spans="15:15" x14ac:dyDescent="0.3">
      <c r="O2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0" spans="15:15" x14ac:dyDescent="0.3">
      <c r="O2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1" spans="15:15" x14ac:dyDescent="0.3">
      <c r="O2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2" spans="15:15" x14ac:dyDescent="0.3">
      <c r="O2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3" spans="15:15" x14ac:dyDescent="0.3">
      <c r="O2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4" spans="15:15" x14ac:dyDescent="0.3">
      <c r="O2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5" spans="15:15" x14ac:dyDescent="0.3">
      <c r="O2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6" spans="15:15" x14ac:dyDescent="0.3">
      <c r="O2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7" spans="15:15" x14ac:dyDescent="0.3">
      <c r="O2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8" spans="15:15" x14ac:dyDescent="0.3">
      <c r="O2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49" spans="15:15" x14ac:dyDescent="0.3">
      <c r="O2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0" spans="15:15" x14ac:dyDescent="0.3">
      <c r="O2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1" spans="15:15" x14ac:dyDescent="0.3">
      <c r="O2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2" spans="15:15" x14ac:dyDescent="0.3">
      <c r="O2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3" spans="15:15" x14ac:dyDescent="0.3">
      <c r="O2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4" spans="15:15" x14ac:dyDescent="0.3">
      <c r="O2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5" spans="15:15" x14ac:dyDescent="0.3">
      <c r="O2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6" spans="15:15" x14ac:dyDescent="0.3">
      <c r="O2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7" spans="15:15" x14ac:dyDescent="0.3">
      <c r="O2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8" spans="15:15" x14ac:dyDescent="0.3">
      <c r="O2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59" spans="15:15" x14ac:dyDescent="0.3">
      <c r="O2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0" spans="15:15" x14ac:dyDescent="0.3">
      <c r="O2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1" spans="15:15" x14ac:dyDescent="0.3">
      <c r="O2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2" spans="15:15" x14ac:dyDescent="0.3">
      <c r="O2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3" spans="15:15" x14ac:dyDescent="0.3">
      <c r="O2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4" spans="15:15" x14ac:dyDescent="0.3">
      <c r="O2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5" spans="15:15" x14ac:dyDescent="0.3">
      <c r="O2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6" spans="15:15" x14ac:dyDescent="0.3">
      <c r="O2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7" spans="15:15" x14ac:dyDescent="0.3">
      <c r="O2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8" spans="15:15" x14ac:dyDescent="0.3">
      <c r="O2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69" spans="15:15" x14ac:dyDescent="0.3">
      <c r="O2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0" spans="15:15" x14ac:dyDescent="0.3">
      <c r="O2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1" spans="15:15" x14ac:dyDescent="0.3">
      <c r="O2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2" spans="15:15" x14ac:dyDescent="0.3">
      <c r="O2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3" spans="15:15" x14ac:dyDescent="0.3">
      <c r="O2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4" spans="15:15" x14ac:dyDescent="0.3">
      <c r="O2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5" spans="15:15" x14ac:dyDescent="0.3">
      <c r="O2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6" spans="15:15" x14ac:dyDescent="0.3">
      <c r="O2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7" spans="15:15" x14ac:dyDescent="0.3">
      <c r="O2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8" spans="15:15" x14ac:dyDescent="0.3">
      <c r="O2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79" spans="15:15" x14ac:dyDescent="0.3">
      <c r="O2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0" spans="15:15" x14ac:dyDescent="0.3">
      <c r="O2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1" spans="15:15" x14ac:dyDescent="0.3">
      <c r="O2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2" spans="15:15" x14ac:dyDescent="0.3">
      <c r="O2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3" spans="15:15" x14ac:dyDescent="0.3">
      <c r="O2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4" spans="15:15" x14ac:dyDescent="0.3">
      <c r="O2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5" spans="15:15" x14ac:dyDescent="0.3">
      <c r="O2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6" spans="15:15" x14ac:dyDescent="0.3">
      <c r="O2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7" spans="15:15" x14ac:dyDescent="0.3">
      <c r="O2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8" spans="15:15" x14ac:dyDescent="0.3">
      <c r="O2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89" spans="15:15" x14ac:dyDescent="0.3">
      <c r="O2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0" spans="15:15" x14ac:dyDescent="0.3">
      <c r="O2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1" spans="15:15" x14ac:dyDescent="0.3">
      <c r="O2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2" spans="15:15" x14ac:dyDescent="0.3">
      <c r="O2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3" spans="15:15" x14ac:dyDescent="0.3">
      <c r="O2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4" spans="15:15" x14ac:dyDescent="0.3">
      <c r="O2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5" spans="15:15" x14ac:dyDescent="0.3">
      <c r="O2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6" spans="15:15" x14ac:dyDescent="0.3">
      <c r="O2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7" spans="15:15" x14ac:dyDescent="0.3">
      <c r="O2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8" spans="15:15" x14ac:dyDescent="0.3">
      <c r="O2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99" spans="15:15" x14ac:dyDescent="0.3">
      <c r="O2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0" spans="15:15" x14ac:dyDescent="0.3">
      <c r="O3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1" spans="15:15" x14ac:dyDescent="0.3">
      <c r="O3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2" spans="15:15" x14ac:dyDescent="0.3">
      <c r="O3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3" spans="15:15" x14ac:dyDescent="0.3">
      <c r="O3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4" spans="15:15" x14ac:dyDescent="0.3">
      <c r="O3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5" spans="15:15" x14ac:dyDescent="0.3">
      <c r="O3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6" spans="15:15" x14ac:dyDescent="0.3">
      <c r="O3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7" spans="15:15" x14ac:dyDescent="0.3">
      <c r="O3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8" spans="15:15" x14ac:dyDescent="0.3">
      <c r="O3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09" spans="15:15" x14ac:dyDescent="0.3">
      <c r="O3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0" spans="15:15" x14ac:dyDescent="0.3">
      <c r="O3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1" spans="15:15" x14ac:dyDescent="0.3">
      <c r="O3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2" spans="15:15" x14ac:dyDescent="0.3">
      <c r="O3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3" spans="15:15" x14ac:dyDescent="0.3">
      <c r="O3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4" spans="15:15" x14ac:dyDescent="0.3">
      <c r="O3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5" spans="15:15" x14ac:dyDescent="0.3">
      <c r="O3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6" spans="15:15" x14ac:dyDescent="0.3">
      <c r="O3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7" spans="15:15" x14ac:dyDescent="0.3">
      <c r="O3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8" spans="15:15" x14ac:dyDescent="0.3">
      <c r="O3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19" spans="15:15" x14ac:dyDescent="0.3">
      <c r="O3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0" spans="15:15" x14ac:dyDescent="0.3">
      <c r="O3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1" spans="15:15" x14ac:dyDescent="0.3">
      <c r="O3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2" spans="15:15" x14ac:dyDescent="0.3">
      <c r="O3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3" spans="15:15" x14ac:dyDescent="0.3">
      <c r="O3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4" spans="15:15" x14ac:dyDescent="0.3">
      <c r="O3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5" spans="15:15" x14ac:dyDescent="0.3">
      <c r="O3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6" spans="15:15" x14ac:dyDescent="0.3">
      <c r="O3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7" spans="15:15" x14ac:dyDescent="0.3">
      <c r="O3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8" spans="15:15" x14ac:dyDescent="0.3">
      <c r="O3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29" spans="15:15" x14ac:dyDescent="0.3">
      <c r="O3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0" spans="15:15" x14ac:dyDescent="0.3">
      <c r="O3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1" spans="15:15" x14ac:dyDescent="0.3">
      <c r="O3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2" spans="15:15" x14ac:dyDescent="0.3">
      <c r="O3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3" spans="15:15" x14ac:dyDescent="0.3">
      <c r="O3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4" spans="15:15" x14ac:dyDescent="0.3">
      <c r="O3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5" spans="15:15" x14ac:dyDescent="0.3">
      <c r="O3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6" spans="15:15" x14ac:dyDescent="0.3">
      <c r="O3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7" spans="15:15" x14ac:dyDescent="0.3">
      <c r="O3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8" spans="15:15" x14ac:dyDescent="0.3">
      <c r="O3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39" spans="15:15" x14ac:dyDescent="0.3">
      <c r="O3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0" spans="15:15" x14ac:dyDescent="0.3">
      <c r="O3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1" spans="15:15" x14ac:dyDescent="0.3">
      <c r="O3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2" spans="15:15" x14ac:dyDescent="0.3">
      <c r="O3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3" spans="15:15" x14ac:dyDescent="0.3">
      <c r="O3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4" spans="15:15" x14ac:dyDescent="0.3">
      <c r="O3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5" spans="15:15" x14ac:dyDescent="0.3">
      <c r="O3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6" spans="15:15" x14ac:dyDescent="0.3">
      <c r="O3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7" spans="15:15" x14ac:dyDescent="0.3">
      <c r="O3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8" spans="15:15" x14ac:dyDescent="0.3">
      <c r="O3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49" spans="15:15" x14ac:dyDescent="0.3">
      <c r="O3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0" spans="15:15" x14ac:dyDescent="0.3">
      <c r="O3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1" spans="15:15" x14ac:dyDescent="0.3">
      <c r="O3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2" spans="15:15" x14ac:dyDescent="0.3">
      <c r="O3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3" spans="15:15" x14ac:dyDescent="0.3">
      <c r="O3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4" spans="15:15" x14ac:dyDescent="0.3">
      <c r="O3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5" spans="15:15" x14ac:dyDescent="0.3">
      <c r="O3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6" spans="15:15" x14ac:dyDescent="0.3">
      <c r="O3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7" spans="15:15" x14ac:dyDescent="0.3">
      <c r="O3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8" spans="15:15" x14ac:dyDescent="0.3">
      <c r="O3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59" spans="15:15" x14ac:dyDescent="0.3">
      <c r="O3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0" spans="15:15" x14ac:dyDescent="0.3">
      <c r="O3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1" spans="15:15" x14ac:dyDescent="0.3">
      <c r="O3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2" spans="15:15" x14ac:dyDescent="0.3">
      <c r="O3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3" spans="15:15" x14ac:dyDescent="0.3">
      <c r="O3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4" spans="15:15" x14ac:dyDescent="0.3">
      <c r="O3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5" spans="15:15" x14ac:dyDescent="0.3">
      <c r="O3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6" spans="15:15" x14ac:dyDescent="0.3">
      <c r="O3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7" spans="15:15" x14ac:dyDescent="0.3">
      <c r="O3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8" spans="15:15" x14ac:dyDescent="0.3">
      <c r="O3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69" spans="15:15" x14ac:dyDescent="0.3">
      <c r="O3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0" spans="15:15" x14ac:dyDescent="0.3">
      <c r="O3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1" spans="15:15" x14ac:dyDescent="0.3">
      <c r="O3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2" spans="15:15" x14ac:dyDescent="0.3">
      <c r="O3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3" spans="15:15" x14ac:dyDescent="0.3">
      <c r="O3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4" spans="15:15" x14ac:dyDescent="0.3">
      <c r="O3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5" spans="15:15" x14ac:dyDescent="0.3">
      <c r="O3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6" spans="15:15" x14ac:dyDescent="0.3">
      <c r="O3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7" spans="15:15" x14ac:dyDescent="0.3">
      <c r="O3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8" spans="15:15" x14ac:dyDescent="0.3">
      <c r="O3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79" spans="15:15" x14ac:dyDescent="0.3">
      <c r="O3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0" spans="15:15" x14ac:dyDescent="0.3">
      <c r="O3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1" spans="15:15" x14ac:dyDescent="0.3">
      <c r="O3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2" spans="15:15" x14ac:dyDescent="0.3">
      <c r="O3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3" spans="15:15" x14ac:dyDescent="0.3">
      <c r="O3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4" spans="15:15" x14ac:dyDescent="0.3">
      <c r="O3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5" spans="15:15" x14ac:dyDescent="0.3">
      <c r="O3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6" spans="15:15" x14ac:dyDescent="0.3">
      <c r="O3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7" spans="15:15" x14ac:dyDescent="0.3">
      <c r="O3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8" spans="15:15" x14ac:dyDescent="0.3">
      <c r="O3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89" spans="15:15" x14ac:dyDescent="0.3">
      <c r="O3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0" spans="15:15" x14ac:dyDescent="0.3">
      <c r="O3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1" spans="15:15" x14ac:dyDescent="0.3">
      <c r="O3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2" spans="15:15" x14ac:dyDescent="0.3">
      <c r="O3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3" spans="15:15" x14ac:dyDescent="0.3">
      <c r="O3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4" spans="15:15" x14ac:dyDescent="0.3">
      <c r="O3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5" spans="15:15" x14ac:dyDescent="0.3">
      <c r="O3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6" spans="15:15" x14ac:dyDescent="0.3">
      <c r="O3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7" spans="15:15" x14ac:dyDescent="0.3">
      <c r="O3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8" spans="15:15" x14ac:dyDescent="0.3">
      <c r="O3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399" spans="15:15" x14ac:dyDescent="0.3">
      <c r="O3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0" spans="15:15" x14ac:dyDescent="0.3">
      <c r="O4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1" spans="15:15" x14ac:dyDescent="0.3">
      <c r="O4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2" spans="15:15" x14ac:dyDescent="0.3">
      <c r="O4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3" spans="15:15" x14ac:dyDescent="0.3">
      <c r="O4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4" spans="15:15" x14ac:dyDescent="0.3">
      <c r="O4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5" spans="15:15" x14ac:dyDescent="0.3">
      <c r="O4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6" spans="15:15" x14ac:dyDescent="0.3">
      <c r="O4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7" spans="15:15" x14ac:dyDescent="0.3">
      <c r="O4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8" spans="15:15" x14ac:dyDescent="0.3">
      <c r="O4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09" spans="15:15" x14ac:dyDescent="0.3">
      <c r="O4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0" spans="15:15" x14ac:dyDescent="0.3">
      <c r="O4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1" spans="15:15" x14ac:dyDescent="0.3">
      <c r="O4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2" spans="15:15" x14ac:dyDescent="0.3">
      <c r="O4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3" spans="15:15" x14ac:dyDescent="0.3">
      <c r="O4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4" spans="15:15" x14ac:dyDescent="0.3">
      <c r="O4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5" spans="15:15" x14ac:dyDescent="0.3">
      <c r="O4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6" spans="15:15" x14ac:dyDescent="0.3">
      <c r="O4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7" spans="15:15" x14ac:dyDescent="0.3">
      <c r="O4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8" spans="15:15" x14ac:dyDescent="0.3">
      <c r="O4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19" spans="15:15" x14ac:dyDescent="0.3">
      <c r="O4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0" spans="15:15" x14ac:dyDescent="0.3">
      <c r="O4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1" spans="15:15" x14ac:dyDescent="0.3">
      <c r="O4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2" spans="15:15" x14ac:dyDescent="0.3">
      <c r="O4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3" spans="15:15" x14ac:dyDescent="0.3">
      <c r="O4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4" spans="15:15" x14ac:dyDescent="0.3">
      <c r="O4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5" spans="15:15" x14ac:dyDescent="0.3">
      <c r="O4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6" spans="15:15" x14ac:dyDescent="0.3">
      <c r="O4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7" spans="15:15" x14ac:dyDescent="0.3">
      <c r="O4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8" spans="15:15" x14ac:dyDescent="0.3">
      <c r="O4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29" spans="15:15" x14ac:dyDescent="0.3">
      <c r="O4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0" spans="15:15" x14ac:dyDescent="0.3">
      <c r="O4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1" spans="15:15" x14ac:dyDescent="0.3">
      <c r="O4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2" spans="15:15" x14ac:dyDescent="0.3">
      <c r="O4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3" spans="15:15" x14ac:dyDescent="0.3">
      <c r="O4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4" spans="15:15" x14ac:dyDescent="0.3">
      <c r="O4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5" spans="15:15" x14ac:dyDescent="0.3">
      <c r="O4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6" spans="15:15" x14ac:dyDescent="0.3">
      <c r="O4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7" spans="15:15" x14ac:dyDescent="0.3">
      <c r="O4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8" spans="15:15" x14ac:dyDescent="0.3">
      <c r="O4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39" spans="15:15" x14ac:dyDescent="0.3">
      <c r="O4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0" spans="15:15" x14ac:dyDescent="0.3">
      <c r="O4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1" spans="15:15" x14ac:dyDescent="0.3">
      <c r="O4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2" spans="15:15" x14ac:dyDescent="0.3">
      <c r="O4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3" spans="15:15" x14ac:dyDescent="0.3">
      <c r="O4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4" spans="15:15" x14ac:dyDescent="0.3">
      <c r="O4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5" spans="15:15" x14ac:dyDescent="0.3">
      <c r="O4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6" spans="15:15" x14ac:dyDescent="0.3">
      <c r="O4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7" spans="15:15" x14ac:dyDescent="0.3">
      <c r="O4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8" spans="15:15" x14ac:dyDescent="0.3">
      <c r="O4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49" spans="15:15" x14ac:dyDescent="0.3">
      <c r="O4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0" spans="15:15" x14ac:dyDescent="0.3">
      <c r="O4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1" spans="15:15" x14ac:dyDescent="0.3">
      <c r="O4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2" spans="15:15" x14ac:dyDescent="0.3">
      <c r="O4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3" spans="15:15" x14ac:dyDescent="0.3">
      <c r="O4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4" spans="15:15" x14ac:dyDescent="0.3">
      <c r="O4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5" spans="15:15" x14ac:dyDescent="0.3">
      <c r="O4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6" spans="15:15" x14ac:dyDescent="0.3">
      <c r="O4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7" spans="15:15" x14ac:dyDescent="0.3">
      <c r="O4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8" spans="15:15" x14ac:dyDescent="0.3">
      <c r="O4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59" spans="15:15" x14ac:dyDescent="0.3">
      <c r="O4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0" spans="15:15" x14ac:dyDescent="0.3">
      <c r="O4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1" spans="15:15" x14ac:dyDescent="0.3">
      <c r="O4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2" spans="15:15" x14ac:dyDescent="0.3">
      <c r="O4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3" spans="15:15" x14ac:dyDescent="0.3">
      <c r="O4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4" spans="15:15" x14ac:dyDescent="0.3">
      <c r="O4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5" spans="15:15" x14ac:dyDescent="0.3">
      <c r="O4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6" spans="15:15" x14ac:dyDescent="0.3">
      <c r="O4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7" spans="15:15" x14ac:dyDescent="0.3">
      <c r="O4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8" spans="15:15" x14ac:dyDescent="0.3">
      <c r="O4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69" spans="15:15" x14ac:dyDescent="0.3">
      <c r="O4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0" spans="15:15" x14ac:dyDescent="0.3">
      <c r="O4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1" spans="15:15" x14ac:dyDescent="0.3">
      <c r="O4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2" spans="15:15" x14ac:dyDescent="0.3">
      <c r="O4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3" spans="15:15" x14ac:dyDescent="0.3">
      <c r="O4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4" spans="15:15" x14ac:dyDescent="0.3">
      <c r="O4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5" spans="15:15" x14ac:dyDescent="0.3">
      <c r="O4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6" spans="15:15" x14ac:dyDescent="0.3">
      <c r="O4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7" spans="15:15" x14ac:dyDescent="0.3">
      <c r="O4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8" spans="15:15" x14ac:dyDescent="0.3">
      <c r="O4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79" spans="15:15" x14ac:dyDescent="0.3">
      <c r="O4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0" spans="15:15" x14ac:dyDescent="0.3">
      <c r="O4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1" spans="15:15" x14ac:dyDescent="0.3">
      <c r="O4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2" spans="15:15" x14ac:dyDescent="0.3">
      <c r="O4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3" spans="15:15" x14ac:dyDescent="0.3">
      <c r="O4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4" spans="15:15" x14ac:dyDescent="0.3">
      <c r="O4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5" spans="15:15" x14ac:dyDescent="0.3">
      <c r="O4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6" spans="15:15" x14ac:dyDescent="0.3">
      <c r="O4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7" spans="15:15" x14ac:dyDescent="0.3">
      <c r="O4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8" spans="15:15" x14ac:dyDescent="0.3">
      <c r="O4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89" spans="15:15" x14ac:dyDescent="0.3">
      <c r="O4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0" spans="15:15" x14ac:dyDescent="0.3">
      <c r="O4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1" spans="15:15" x14ac:dyDescent="0.3">
      <c r="O4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2" spans="15:15" x14ac:dyDescent="0.3">
      <c r="O4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3" spans="15:15" x14ac:dyDescent="0.3">
      <c r="O4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4" spans="15:15" x14ac:dyDescent="0.3">
      <c r="O4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5" spans="15:15" x14ac:dyDescent="0.3">
      <c r="O4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6" spans="15:15" x14ac:dyDescent="0.3">
      <c r="O4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7" spans="15:15" x14ac:dyDescent="0.3">
      <c r="O4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8" spans="15:15" x14ac:dyDescent="0.3">
      <c r="O4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499" spans="15:15" x14ac:dyDescent="0.3">
      <c r="O4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0" spans="15:15" x14ac:dyDescent="0.3">
      <c r="O5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1" spans="15:15" x14ac:dyDescent="0.3">
      <c r="O5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2" spans="15:15" x14ac:dyDescent="0.3">
      <c r="O5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3" spans="15:15" x14ac:dyDescent="0.3">
      <c r="O5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4" spans="15:15" x14ac:dyDescent="0.3">
      <c r="O5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5" spans="15:15" x14ac:dyDescent="0.3">
      <c r="O5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6" spans="15:15" x14ac:dyDescent="0.3">
      <c r="O5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7" spans="15:15" x14ac:dyDescent="0.3">
      <c r="O5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8" spans="15:15" x14ac:dyDescent="0.3">
      <c r="O5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09" spans="15:15" x14ac:dyDescent="0.3">
      <c r="O5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0" spans="15:15" x14ac:dyDescent="0.3">
      <c r="O5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1" spans="15:15" x14ac:dyDescent="0.3">
      <c r="O5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2" spans="15:15" x14ac:dyDescent="0.3">
      <c r="O5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3" spans="15:15" x14ac:dyDescent="0.3">
      <c r="O5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4" spans="15:15" x14ac:dyDescent="0.3">
      <c r="O5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5" spans="15:15" x14ac:dyDescent="0.3">
      <c r="O5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6" spans="15:15" x14ac:dyDescent="0.3">
      <c r="O5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7" spans="15:15" x14ac:dyDescent="0.3">
      <c r="O5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8" spans="15:15" x14ac:dyDescent="0.3">
      <c r="O5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19" spans="15:15" x14ac:dyDescent="0.3">
      <c r="O5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0" spans="15:15" x14ac:dyDescent="0.3">
      <c r="O5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1" spans="15:15" x14ac:dyDescent="0.3">
      <c r="O5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2" spans="15:15" x14ac:dyDescent="0.3">
      <c r="O5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3" spans="15:15" x14ac:dyDescent="0.3">
      <c r="O5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4" spans="15:15" x14ac:dyDescent="0.3">
      <c r="O5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5" spans="15:15" x14ac:dyDescent="0.3">
      <c r="O5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6" spans="15:15" x14ac:dyDescent="0.3">
      <c r="O5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7" spans="15:15" x14ac:dyDescent="0.3">
      <c r="O5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8" spans="15:15" x14ac:dyDescent="0.3">
      <c r="O5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29" spans="15:15" x14ac:dyDescent="0.3">
      <c r="O5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0" spans="15:15" x14ac:dyDescent="0.3">
      <c r="O5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1" spans="15:15" x14ac:dyDescent="0.3">
      <c r="O5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2" spans="15:15" x14ac:dyDescent="0.3">
      <c r="O5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3" spans="15:15" x14ac:dyDescent="0.3">
      <c r="O5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4" spans="15:15" x14ac:dyDescent="0.3">
      <c r="O5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5" spans="15:15" x14ac:dyDescent="0.3">
      <c r="O5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6" spans="15:15" x14ac:dyDescent="0.3">
      <c r="O5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7" spans="15:15" x14ac:dyDescent="0.3">
      <c r="O5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8" spans="15:15" x14ac:dyDescent="0.3">
      <c r="O5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39" spans="15:15" x14ac:dyDescent="0.3">
      <c r="O5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0" spans="15:15" x14ac:dyDescent="0.3">
      <c r="O5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1" spans="15:15" x14ac:dyDescent="0.3">
      <c r="O5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2" spans="15:15" x14ac:dyDescent="0.3">
      <c r="O5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3" spans="15:15" x14ac:dyDescent="0.3">
      <c r="O5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4" spans="15:15" x14ac:dyDescent="0.3">
      <c r="O5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5" spans="15:15" x14ac:dyDescent="0.3">
      <c r="O5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6" spans="15:15" x14ac:dyDescent="0.3">
      <c r="O5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7" spans="15:15" x14ac:dyDescent="0.3">
      <c r="O5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8" spans="15:15" x14ac:dyDescent="0.3">
      <c r="O5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49" spans="15:15" x14ac:dyDescent="0.3">
      <c r="O5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0" spans="15:15" x14ac:dyDescent="0.3">
      <c r="O5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1" spans="15:15" x14ac:dyDescent="0.3">
      <c r="O5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2" spans="15:15" x14ac:dyDescent="0.3">
      <c r="O5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3" spans="15:15" x14ac:dyDescent="0.3">
      <c r="O5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4" spans="15:15" x14ac:dyDescent="0.3">
      <c r="O5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5" spans="15:15" x14ac:dyDescent="0.3">
      <c r="O5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6" spans="15:15" x14ac:dyDescent="0.3">
      <c r="O5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7" spans="15:15" x14ac:dyDescent="0.3">
      <c r="O5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8" spans="15:15" x14ac:dyDescent="0.3">
      <c r="O5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59" spans="15:15" x14ac:dyDescent="0.3">
      <c r="O5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0" spans="15:15" x14ac:dyDescent="0.3">
      <c r="O5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1" spans="15:15" x14ac:dyDescent="0.3">
      <c r="O5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2" spans="15:15" x14ac:dyDescent="0.3">
      <c r="O5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3" spans="15:15" x14ac:dyDescent="0.3">
      <c r="O5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4" spans="15:15" x14ac:dyDescent="0.3">
      <c r="O5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5" spans="15:15" x14ac:dyDescent="0.3">
      <c r="O5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6" spans="15:15" x14ac:dyDescent="0.3">
      <c r="O5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7" spans="15:15" x14ac:dyDescent="0.3">
      <c r="O5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8" spans="15:15" x14ac:dyDescent="0.3">
      <c r="O5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69" spans="15:15" x14ac:dyDescent="0.3">
      <c r="O5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0" spans="15:15" x14ac:dyDescent="0.3">
      <c r="O5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1" spans="15:15" x14ac:dyDescent="0.3">
      <c r="O5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2" spans="15:15" x14ac:dyDescent="0.3">
      <c r="O5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3" spans="15:15" x14ac:dyDescent="0.3">
      <c r="O5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4" spans="15:15" x14ac:dyDescent="0.3">
      <c r="O5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5" spans="15:15" x14ac:dyDescent="0.3">
      <c r="O5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6" spans="15:15" x14ac:dyDescent="0.3">
      <c r="O5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7" spans="15:15" x14ac:dyDescent="0.3">
      <c r="O5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8" spans="15:15" x14ac:dyDescent="0.3">
      <c r="O5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79" spans="15:15" x14ac:dyDescent="0.3">
      <c r="O5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0" spans="15:15" x14ac:dyDescent="0.3">
      <c r="O5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1" spans="15:15" x14ac:dyDescent="0.3">
      <c r="O5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2" spans="15:15" x14ac:dyDescent="0.3">
      <c r="O5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3" spans="15:15" x14ac:dyDescent="0.3">
      <c r="O5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4" spans="15:15" x14ac:dyDescent="0.3">
      <c r="O5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5" spans="15:15" x14ac:dyDescent="0.3">
      <c r="O5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6" spans="15:15" x14ac:dyDescent="0.3">
      <c r="O5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7" spans="15:15" x14ac:dyDescent="0.3">
      <c r="O5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8" spans="15:15" x14ac:dyDescent="0.3">
      <c r="O5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89" spans="15:15" x14ac:dyDescent="0.3">
      <c r="O5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0" spans="15:15" x14ac:dyDescent="0.3">
      <c r="O5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1" spans="15:15" x14ac:dyDescent="0.3">
      <c r="O5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2" spans="15:15" x14ac:dyDescent="0.3">
      <c r="O5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3" spans="15:15" x14ac:dyDescent="0.3">
      <c r="O5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4" spans="15:15" x14ac:dyDescent="0.3">
      <c r="O5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5" spans="15:15" x14ac:dyDescent="0.3">
      <c r="O5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6" spans="15:15" x14ac:dyDescent="0.3">
      <c r="O5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7" spans="15:15" x14ac:dyDescent="0.3">
      <c r="O5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8" spans="15:15" x14ac:dyDescent="0.3">
      <c r="O5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599" spans="15:15" x14ac:dyDescent="0.3">
      <c r="O5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0" spans="15:15" x14ac:dyDescent="0.3">
      <c r="O6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1" spans="15:15" x14ac:dyDescent="0.3">
      <c r="O6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2" spans="15:15" x14ac:dyDescent="0.3">
      <c r="O6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3" spans="15:15" x14ac:dyDescent="0.3">
      <c r="O6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4" spans="15:15" x14ac:dyDescent="0.3">
      <c r="O6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5" spans="15:15" x14ac:dyDescent="0.3">
      <c r="O6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6" spans="15:15" x14ac:dyDescent="0.3">
      <c r="O6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7" spans="15:15" x14ac:dyDescent="0.3">
      <c r="O6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8" spans="15:15" x14ac:dyDescent="0.3">
      <c r="O6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09" spans="15:15" x14ac:dyDescent="0.3">
      <c r="O6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0" spans="15:15" x14ac:dyDescent="0.3">
      <c r="O6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1" spans="15:15" x14ac:dyDescent="0.3">
      <c r="O6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2" spans="15:15" x14ac:dyDescent="0.3">
      <c r="O6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3" spans="15:15" x14ac:dyDescent="0.3">
      <c r="O6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4" spans="15:15" x14ac:dyDescent="0.3">
      <c r="O6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5" spans="15:15" x14ac:dyDescent="0.3">
      <c r="O6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6" spans="15:15" x14ac:dyDescent="0.3">
      <c r="O6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7" spans="15:15" x14ac:dyDescent="0.3">
      <c r="O6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8" spans="15:15" x14ac:dyDescent="0.3">
      <c r="O6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19" spans="15:15" x14ac:dyDescent="0.3">
      <c r="O6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0" spans="15:15" x14ac:dyDescent="0.3">
      <c r="O6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1" spans="15:15" x14ac:dyDescent="0.3">
      <c r="O6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2" spans="15:15" x14ac:dyDescent="0.3">
      <c r="O6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3" spans="15:15" x14ac:dyDescent="0.3">
      <c r="O6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4" spans="15:15" x14ac:dyDescent="0.3">
      <c r="O6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5" spans="15:15" x14ac:dyDescent="0.3">
      <c r="O6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6" spans="15:15" x14ac:dyDescent="0.3">
      <c r="O6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7" spans="15:15" x14ac:dyDescent="0.3">
      <c r="O6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8" spans="15:15" x14ac:dyDescent="0.3">
      <c r="O6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29" spans="15:15" x14ac:dyDescent="0.3">
      <c r="O6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0" spans="15:15" x14ac:dyDescent="0.3">
      <c r="O6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1" spans="15:15" x14ac:dyDescent="0.3">
      <c r="O6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2" spans="15:15" x14ac:dyDescent="0.3">
      <c r="O6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3" spans="15:15" x14ac:dyDescent="0.3">
      <c r="O6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4" spans="15:15" x14ac:dyDescent="0.3">
      <c r="O6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5" spans="15:15" x14ac:dyDescent="0.3">
      <c r="O6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6" spans="15:15" x14ac:dyDescent="0.3">
      <c r="O6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7" spans="15:15" x14ac:dyDescent="0.3">
      <c r="O6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8" spans="15:15" x14ac:dyDescent="0.3">
      <c r="O6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39" spans="15:15" x14ac:dyDescent="0.3">
      <c r="O6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0" spans="15:15" x14ac:dyDescent="0.3">
      <c r="O6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1" spans="15:15" x14ac:dyDescent="0.3">
      <c r="O6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2" spans="15:15" x14ac:dyDescent="0.3">
      <c r="O6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3" spans="15:15" x14ac:dyDescent="0.3">
      <c r="O6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4" spans="15:15" x14ac:dyDescent="0.3">
      <c r="O6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5" spans="15:15" x14ac:dyDescent="0.3">
      <c r="O6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6" spans="15:15" x14ac:dyDescent="0.3">
      <c r="O6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7" spans="15:15" x14ac:dyDescent="0.3">
      <c r="O6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8" spans="15:15" x14ac:dyDescent="0.3">
      <c r="O6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49" spans="15:15" x14ac:dyDescent="0.3">
      <c r="O6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0" spans="15:15" x14ac:dyDescent="0.3">
      <c r="O6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1" spans="15:15" x14ac:dyDescent="0.3">
      <c r="O6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2" spans="15:15" x14ac:dyDescent="0.3">
      <c r="O6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3" spans="15:15" x14ac:dyDescent="0.3">
      <c r="O6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4" spans="15:15" x14ac:dyDescent="0.3">
      <c r="O6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5" spans="15:15" x14ac:dyDescent="0.3">
      <c r="O6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6" spans="15:15" x14ac:dyDescent="0.3">
      <c r="O6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7" spans="15:15" x14ac:dyDescent="0.3">
      <c r="O6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8" spans="15:15" x14ac:dyDescent="0.3">
      <c r="O6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59" spans="15:15" x14ac:dyDescent="0.3">
      <c r="O6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0" spans="15:15" x14ac:dyDescent="0.3">
      <c r="O6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1" spans="15:15" x14ac:dyDescent="0.3">
      <c r="O6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2" spans="15:15" x14ac:dyDescent="0.3">
      <c r="O6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3" spans="15:15" x14ac:dyDescent="0.3">
      <c r="O6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4" spans="15:15" x14ac:dyDescent="0.3">
      <c r="O6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5" spans="15:15" x14ac:dyDescent="0.3">
      <c r="O6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6" spans="15:15" x14ac:dyDescent="0.3">
      <c r="O6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7" spans="15:15" x14ac:dyDescent="0.3">
      <c r="O6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8" spans="15:15" x14ac:dyDescent="0.3">
      <c r="O6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69" spans="15:15" x14ac:dyDescent="0.3">
      <c r="O6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0" spans="15:15" x14ac:dyDescent="0.3">
      <c r="O6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1" spans="15:15" x14ac:dyDescent="0.3">
      <c r="O6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2" spans="15:15" x14ac:dyDescent="0.3">
      <c r="O6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3" spans="15:15" x14ac:dyDescent="0.3">
      <c r="O6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4" spans="15:15" x14ac:dyDescent="0.3">
      <c r="O6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5" spans="15:15" x14ac:dyDescent="0.3">
      <c r="O6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6" spans="15:15" x14ac:dyDescent="0.3">
      <c r="O6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7" spans="15:15" x14ac:dyDescent="0.3">
      <c r="O6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8" spans="15:15" x14ac:dyDescent="0.3">
      <c r="O6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79" spans="15:15" x14ac:dyDescent="0.3">
      <c r="O6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0" spans="15:15" x14ac:dyDescent="0.3">
      <c r="O6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1" spans="15:15" x14ac:dyDescent="0.3">
      <c r="O6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2" spans="15:15" x14ac:dyDescent="0.3">
      <c r="O6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3" spans="15:15" x14ac:dyDescent="0.3">
      <c r="O6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4" spans="15:15" x14ac:dyDescent="0.3">
      <c r="O6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5" spans="15:15" x14ac:dyDescent="0.3">
      <c r="O6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6" spans="15:15" x14ac:dyDescent="0.3">
      <c r="O6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7" spans="15:15" x14ac:dyDescent="0.3">
      <c r="O6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8" spans="15:15" x14ac:dyDescent="0.3">
      <c r="O6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89" spans="15:15" x14ac:dyDescent="0.3">
      <c r="O6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0" spans="15:15" x14ac:dyDescent="0.3">
      <c r="O6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1" spans="15:15" x14ac:dyDescent="0.3">
      <c r="O6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2" spans="15:15" x14ac:dyDescent="0.3">
      <c r="O6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3" spans="15:15" x14ac:dyDescent="0.3">
      <c r="O6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4" spans="15:15" x14ac:dyDescent="0.3">
      <c r="O6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5" spans="15:15" x14ac:dyDescent="0.3">
      <c r="O6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6" spans="15:15" x14ac:dyDescent="0.3">
      <c r="O6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7" spans="15:15" x14ac:dyDescent="0.3">
      <c r="O6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8" spans="15:15" x14ac:dyDescent="0.3">
      <c r="O6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699" spans="15:15" x14ac:dyDescent="0.3">
      <c r="O6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0" spans="15:15" x14ac:dyDescent="0.3">
      <c r="O7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1" spans="15:15" x14ac:dyDescent="0.3">
      <c r="O7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2" spans="15:15" x14ac:dyDescent="0.3">
      <c r="O7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3" spans="15:15" x14ac:dyDescent="0.3">
      <c r="O7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4" spans="15:15" x14ac:dyDescent="0.3">
      <c r="O7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5" spans="15:15" x14ac:dyDescent="0.3">
      <c r="O7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6" spans="15:15" x14ac:dyDescent="0.3">
      <c r="O7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7" spans="15:15" x14ac:dyDescent="0.3">
      <c r="O7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8" spans="15:15" x14ac:dyDescent="0.3">
      <c r="O7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09" spans="15:15" x14ac:dyDescent="0.3">
      <c r="O7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0" spans="15:15" x14ac:dyDescent="0.3">
      <c r="O7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1" spans="15:15" x14ac:dyDescent="0.3">
      <c r="O7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2" spans="15:15" x14ac:dyDescent="0.3">
      <c r="O7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3" spans="15:15" x14ac:dyDescent="0.3">
      <c r="O7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4" spans="15:15" x14ac:dyDescent="0.3">
      <c r="O7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5" spans="15:15" x14ac:dyDescent="0.3">
      <c r="O7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6" spans="15:15" x14ac:dyDescent="0.3">
      <c r="O7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7" spans="15:15" x14ac:dyDescent="0.3">
      <c r="O7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8" spans="15:15" x14ac:dyDescent="0.3">
      <c r="O7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19" spans="15:15" x14ac:dyDescent="0.3">
      <c r="O7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0" spans="15:15" x14ac:dyDescent="0.3">
      <c r="O7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1" spans="15:15" x14ac:dyDescent="0.3">
      <c r="O7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2" spans="15:15" x14ac:dyDescent="0.3">
      <c r="O7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3" spans="15:15" x14ac:dyDescent="0.3">
      <c r="O7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4" spans="15:15" x14ac:dyDescent="0.3">
      <c r="O7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5" spans="15:15" x14ac:dyDescent="0.3">
      <c r="O7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6" spans="15:15" x14ac:dyDescent="0.3">
      <c r="O7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7" spans="15:15" x14ac:dyDescent="0.3">
      <c r="O7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8" spans="15:15" x14ac:dyDescent="0.3">
      <c r="O7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29" spans="15:15" x14ac:dyDescent="0.3">
      <c r="O7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0" spans="15:15" x14ac:dyDescent="0.3">
      <c r="O7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1" spans="15:15" x14ac:dyDescent="0.3">
      <c r="O7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2" spans="15:15" x14ac:dyDescent="0.3">
      <c r="O7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3" spans="15:15" x14ac:dyDescent="0.3">
      <c r="O7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4" spans="15:15" x14ac:dyDescent="0.3">
      <c r="O7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5" spans="15:15" x14ac:dyDescent="0.3">
      <c r="O7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6" spans="15:15" x14ac:dyDescent="0.3">
      <c r="O7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7" spans="15:15" x14ac:dyDescent="0.3">
      <c r="O7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8" spans="15:15" x14ac:dyDescent="0.3">
      <c r="O7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39" spans="15:15" x14ac:dyDescent="0.3">
      <c r="O7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0" spans="15:15" x14ac:dyDescent="0.3">
      <c r="O7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1" spans="15:15" x14ac:dyDescent="0.3">
      <c r="O7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2" spans="15:15" x14ac:dyDescent="0.3">
      <c r="O7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3" spans="15:15" x14ac:dyDescent="0.3">
      <c r="O7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4" spans="15:15" x14ac:dyDescent="0.3">
      <c r="O7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5" spans="15:15" x14ac:dyDescent="0.3">
      <c r="O7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6" spans="15:15" x14ac:dyDescent="0.3">
      <c r="O7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7" spans="15:15" x14ac:dyDescent="0.3">
      <c r="O7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8" spans="15:15" x14ac:dyDescent="0.3">
      <c r="O7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49" spans="15:15" x14ac:dyDescent="0.3">
      <c r="O7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0" spans="15:15" x14ac:dyDescent="0.3">
      <c r="O7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1" spans="15:15" x14ac:dyDescent="0.3">
      <c r="O7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2" spans="15:15" x14ac:dyDescent="0.3">
      <c r="O7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3" spans="15:15" x14ac:dyDescent="0.3">
      <c r="O7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4" spans="15:15" x14ac:dyDescent="0.3">
      <c r="O7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5" spans="15:15" x14ac:dyDescent="0.3">
      <c r="O7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6" spans="15:15" x14ac:dyDescent="0.3">
      <c r="O7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7" spans="15:15" x14ac:dyDescent="0.3">
      <c r="O7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8" spans="15:15" x14ac:dyDescent="0.3">
      <c r="O7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59" spans="15:15" x14ac:dyDescent="0.3">
      <c r="O7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0" spans="15:15" x14ac:dyDescent="0.3">
      <c r="O7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1" spans="15:15" x14ac:dyDescent="0.3">
      <c r="O7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2" spans="15:15" x14ac:dyDescent="0.3">
      <c r="O7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3" spans="15:15" x14ac:dyDescent="0.3">
      <c r="O7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4" spans="15:15" x14ac:dyDescent="0.3">
      <c r="O7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5" spans="15:15" x14ac:dyDescent="0.3">
      <c r="O7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6" spans="15:15" x14ac:dyDescent="0.3">
      <c r="O7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7" spans="15:15" x14ac:dyDescent="0.3">
      <c r="O7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8" spans="15:15" x14ac:dyDescent="0.3">
      <c r="O7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69" spans="15:15" x14ac:dyDescent="0.3">
      <c r="O7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0" spans="15:15" x14ac:dyDescent="0.3">
      <c r="O7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1" spans="15:15" x14ac:dyDescent="0.3">
      <c r="O7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2" spans="15:15" x14ac:dyDescent="0.3">
      <c r="O7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3" spans="15:15" x14ac:dyDescent="0.3">
      <c r="O7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4" spans="15:15" x14ac:dyDescent="0.3">
      <c r="O7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5" spans="15:15" x14ac:dyDescent="0.3">
      <c r="O7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6" spans="15:15" x14ac:dyDescent="0.3">
      <c r="O7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7" spans="15:15" x14ac:dyDescent="0.3">
      <c r="O7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8" spans="15:15" x14ac:dyDescent="0.3">
      <c r="O7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79" spans="15:15" x14ac:dyDescent="0.3">
      <c r="O7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0" spans="15:15" x14ac:dyDescent="0.3">
      <c r="O7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1" spans="15:15" x14ac:dyDescent="0.3">
      <c r="O7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2" spans="15:15" x14ac:dyDescent="0.3">
      <c r="O7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3" spans="15:15" x14ac:dyDescent="0.3">
      <c r="O7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4" spans="15:15" x14ac:dyDescent="0.3">
      <c r="O7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5" spans="15:15" x14ac:dyDescent="0.3">
      <c r="O7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6" spans="15:15" x14ac:dyDescent="0.3">
      <c r="O7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7" spans="15:15" x14ac:dyDescent="0.3">
      <c r="O7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8" spans="15:15" x14ac:dyDescent="0.3">
      <c r="O7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89" spans="15:15" x14ac:dyDescent="0.3">
      <c r="O7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0" spans="15:15" x14ac:dyDescent="0.3">
      <c r="O7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1" spans="15:15" x14ac:dyDescent="0.3">
      <c r="O7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2" spans="15:15" x14ac:dyDescent="0.3">
      <c r="O7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3" spans="15:15" x14ac:dyDescent="0.3">
      <c r="O7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4" spans="15:15" x14ac:dyDescent="0.3">
      <c r="O7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5" spans="15:15" x14ac:dyDescent="0.3">
      <c r="O7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6" spans="15:15" x14ac:dyDescent="0.3">
      <c r="O7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7" spans="15:15" x14ac:dyDescent="0.3">
      <c r="O7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8" spans="15:15" x14ac:dyDescent="0.3">
      <c r="O7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799" spans="15:15" x14ac:dyDescent="0.3">
      <c r="O7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0" spans="15:15" x14ac:dyDescent="0.3">
      <c r="O8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1" spans="15:15" x14ac:dyDescent="0.3">
      <c r="O8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2" spans="15:15" x14ac:dyDescent="0.3">
      <c r="O8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3" spans="15:15" x14ac:dyDescent="0.3">
      <c r="O8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4" spans="15:15" x14ac:dyDescent="0.3">
      <c r="O8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5" spans="15:15" x14ac:dyDescent="0.3">
      <c r="O8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6" spans="15:15" x14ac:dyDescent="0.3">
      <c r="O8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7" spans="15:15" x14ac:dyDescent="0.3">
      <c r="O8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8" spans="15:15" x14ac:dyDescent="0.3">
      <c r="O8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09" spans="15:15" x14ac:dyDescent="0.3">
      <c r="O8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0" spans="15:15" x14ac:dyDescent="0.3">
      <c r="O8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1" spans="15:15" x14ac:dyDescent="0.3">
      <c r="O8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2" spans="15:15" x14ac:dyDescent="0.3">
      <c r="O8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3" spans="15:15" x14ac:dyDescent="0.3">
      <c r="O8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4" spans="15:15" x14ac:dyDescent="0.3">
      <c r="O8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5" spans="15:15" x14ac:dyDescent="0.3">
      <c r="O8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6" spans="15:15" x14ac:dyDescent="0.3">
      <c r="O8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7" spans="15:15" x14ac:dyDescent="0.3">
      <c r="O8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8" spans="15:15" x14ac:dyDescent="0.3">
      <c r="O8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19" spans="15:15" x14ac:dyDescent="0.3">
      <c r="O8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0" spans="15:15" x14ac:dyDescent="0.3">
      <c r="O8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1" spans="15:15" x14ac:dyDescent="0.3">
      <c r="O8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2" spans="15:15" x14ac:dyDescent="0.3">
      <c r="O8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3" spans="15:15" x14ac:dyDescent="0.3">
      <c r="O8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4" spans="15:15" x14ac:dyDescent="0.3">
      <c r="O8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5" spans="15:15" x14ac:dyDescent="0.3">
      <c r="O8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6" spans="15:15" x14ac:dyDescent="0.3">
      <c r="O8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7" spans="15:15" x14ac:dyDescent="0.3">
      <c r="O8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8" spans="15:15" x14ac:dyDescent="0.3">
      <c r="O8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29" spans="15:15" x14ac:dyDescent="0.3">
      <c r="O8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0" spans="15:15" x14ac:dyDescent="0.3">
      <c r="O8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1" spans="15:15" x14ac:dyDescent="0.3">
      <c r="O8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2" spans="15:15" x14ac:dyDescent="0.3">
      <c r="O8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3" spans="15:15" x14ac:dyDescent="0.3">
      <c r="O8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4" spans="15:15" x14ac:dyDescent="0.3">
      <c r="O8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5" spans="15:15" x14ac:dyDescent="0.3">
      <c r="O8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6" spans="15:15" x14ac:dyDescent="0.3">
      <c r="O8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7" spans="15:15" x14ac:dyDescent="0.3">
      <c r="O8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8" spans="15:15" x14ac:dyDescent="0.3">
      <c r="O8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39" spans="15:15" x14ac:dyDescent="0.3">
      <c r="O8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0" spans="15:15" x14ac:dyDescent="0.3">
      <c r="O8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1" spans="15:15" x14ac:dyDescent="0.3">
      <c r="O8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2" spans="15:15" x14ac:dyDescent="0.3">
      <c r="O8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3" spans="15:15" x14ac:dyDescent="0.3">
      <c r="O8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4" spans="15:15" x14ac:dyDescent="0.3">
      <c r="O8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5" spans="15:15" x14ac:dyDescent="0.3">
      <c r="O8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6" spans="15:15" x14ac:dyDescent="0.3">
      <c r="O8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7" spans="15:15" x14ac:dyDescent="0.3">
      <c r="O8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8" spans="15:15" x14ac:dyDescent="0.3">
      <c r="O8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49" spans="15:15" x14ac:dyDescent="0.3">
      <c r="O8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0" spans="15:15" x14ac:dyDescent="0.3">
      <c r="O8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1" spans="15:15" x14ac:dyDescent="0.3">
      <c r="O8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2" spans="15:15" x14ac:dyDescent="0.3">
      <c r="O8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3" spans="15:15" x14ac:dyDescent="0.3">
      <c r="O8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4" spans="15:15" x14ac:dyDescent="0.3">
      <c r="O8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5" spans="15:15" x14ac:dyDescent="0.3">
      <c r="O8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6" spans="15:15" x14ac:dyDescent="0.3">
      <c r="O8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7" spans="15:15" x14ac:dyDescent="0.3">
      <c r="O8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8" spans="15:15" x14ac:dyDescent="0.3">
      <c r="O8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59" spans="15:15" x14ac:dyDescent="0.3">
      <c r="O8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0" spans="15:15" x14ac:dyDescent="0.3">
      <c r="O8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1" spans="15:15" x14ac:dyDescent="0.3">
      <c r="O8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2" spans="15:15" x14ac:dyDescent="0.3">
      <c r="O8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3" spans="15:15" x14ac:dyDescent="0.3">
      <c r="O8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4" spans="15:15" x14ac:dyDescent="0.3">
      <c r="O8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5" spans="15:15" x14ac:dyDescent="0.3">
      <c r="O8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6" spans="15:15" x14ac:dyDescent="0.3">
      <c r="O8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7" spans="15:15" x14ac:dyDescent="0.3">
      <c r="O8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8" spans="15:15" x14ac:dyDescent="0.3">
      <c r="O8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69" spans="15:15" x14ac:dyDescent="0.3">
      <c r="O8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0" spans="15:15" x14ac:dyDescent="0.3">
      <c r="O8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1" spans="15:15" x14ac:dyDescent="0.3">
      <c r="O8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2" spans="15:15" x14ac:dyDescent="0.3">
      <c r="O8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3" spans="15:15" x14ac:dyDescent="0.3">
      <c r="O8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4" spans="15:15" x14ac:dyDescent="0.3">
      <c r="O8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5" spans="15:15" x14ac:dyDescent="0.3">
      <c r="O8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6" spans="15:15" x14ac:dyDescent="0.3">
      <c r="O8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7" spans="15:15" x14ac:dyDescent="0.3">
      <c r="O8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8" spans="15:15" x14ac:dyDescent="0.3">
      <c r="O8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79" spans="15:15" x14ac:dyDescent="0.3">
      <c r="O8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0" spans="15:15" x14ac:dyDescent="0.3">
      <c r="O8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1" spans="15:15" x14ac:dyDescent="0.3">
      <c r="O8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2" spans="15:15" x14ac:dyDescent="0.3">
      <c r="O8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3" spans="15:15" x14ac:dyDescent="0.3">
      <c r="O8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4" spans="15:15" x14ac:dyDescent="0.3">
      <c r="O8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5" spans="15:15" x14ac:dyDescent="0.3">
      <c r="O8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6" spans="15:15" x14ac:dyDescent="0.3">
      <c r="O8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7" spans="15:15" x14ac:dyDescent="0.3">
      <c r="O8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8" spans="15:15" x14ac:dyDescent="0.3">
      <c r="O8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89" spans="15:15" x14ac:dyDescent="0.3">
      <c r="O8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0" spans="15:15" x14ac:dyDescent="0.3">
      <c r="O8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1" spans="15:15" x14ac:dyDescent="0.3">
      <c r="O8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2" spans="15:15" x14ac:dyDescent="0.3">
      <c r="O8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3" spans="15:15" x14ac:dyDescent="0.3">
      <c r="O8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4" spans="15:15" x14ac:dyDescent="0.3">
      <c r="O8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5" spans="15:15" x14ac:dyDescent="0.3">
      <c r="O8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6" spans="15:15" x14ac:dyDescent="0.3">
      <c r="O8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7" spans="15:15" x14ac:dyDescent="0.3">
      <c r="O8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8" spans="15:15" x14ac:dyDescent="0.3">
      <c r="O8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899" spans="15:15" x14ac:dyDescent="0.3">
      <c r="O8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0" spans="15:15" x14ac:dyDescent="0.3">
      <c r="O9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1" spans="15:15" x14ac:dyDescent="0.3">
      <c r="O9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2" spans="15:15" x14ac:dyDescent="0.3">
      <c r="O9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3" spans="15:15" x14ac:dyDescent="0.3">
      <c r="O9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4" spans="15:15" x14ac:dyDescent="0.3">
      <c r="O9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5" spans="15:15" x14ac:dyDescent="0.3">
      <c r="O9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6" spans="15:15" x14ac:dyDescent="0.3">
      <c r="O9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7" spans="15:15" x14ac:dyDescent="0.3">
      <c r="O9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8" spans="15:15" x14ac:dyDescent="0.3">
      <c r="O9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09" spans="15:15" x14ac:dyDescent="0.3">
      <c r="O9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0" spans="15:15" x14ac:dyDescent="0.3">
      <c r="O9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1" spans="15:15" x14ac:dyDescent="0.3">
      <c r="O9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2" spans="15:15" x14ac:dyDescent="0.3">
      <c r="O9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3" spans="15:15" x14ac:dyDescent="0.3">
      <c r="O9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4" spans="15:15" x14ac:dyDescent="0.3">
      <c r="O9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5" spans="15:15" x14ac:dyDescent="0.3">
      <c r="O9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6" spans="15:15" x14ac:dyDescent="0.3">
      <c r="O9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7" spans="15:15" x14ac:dyDescent="0.3">
      <c r="O9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8" spans="15:15" x14ac:dyDescent="0.3">
      <c r="O9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19" spans="15:15" x14ac:dyDescent="0.3">
      <c r="O9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0" spans="15:15" x14ac:dyDescent="0.3">
      <c r="O9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1" spans="15:15" x14ac:dyDescent="0.3">
      <c r="O9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2" spans="15:15" x14ac:dyDescent="0.3">
      <c r="O9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3" spans="15:15" x14ac:dyDescent="0.3">
      <c r="O9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4" spans="15:15" x14ac:dyDescent="0.3">
      <c r="O9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5" spans="15:15" x14ac:dyDescent="0.3">
      <c r="O9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6" spans="15:15" x14ac:dyDescent="0.3">
      <c r="O9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7" spans="15:15" x14ac:dyDescent="0.3">
      <c r="O9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8" spans="15:15" x14ac:dyDescent="0.3">
      <c r="O9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29" spans="15:15" x14ac:dyDescent="0.3">
      <c r="O9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0" spans="15:15" x14ac:dyDescent="0.3">
      <c r="O9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1" spans="15:15" x14ac:dyDescent="0.3">
      <c r="O9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2" spans="15:15" x14ac:dyDescent="0.3">
      <c r="O9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3" spans="15:15" x14ac:dyDescent="0.3">
      <c r="O9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4" spans="15:15" x14ac:dyDescent="0.3">
      <c r="O9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5" spans="15:15" x14ac:dyDescent="0.3">
      <c r="O9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6" spans="15:15" x14ac:dyDescent="0.3">
      <c r="O9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7" spans="15:15" x14ac:dyDescent="0.3">
      <c r="O9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8" spans="15:15" x14ac:dyDescent="0.3">
      <c r="O9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39" spans="15:15" x14ac:dyDescent="0.3">
      <c r="O9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0" spans="15:15" x14ac:dyDescent="0.3">
      <c r="O9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1" spans="15:15" x14ac:dyDescent="0.3">
      <c r="O9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2" spans="15:15" x14ac:dyDescent="0.3">
      <c r="O9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3" spans="15:15" x14ac:dyDescent="0.3">
      <c r="O9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4" spans="15:15" x14ac:dyDescent="0.3">
      <c r="O9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5" spans="15:15" x14ac:dyDescent="0.3">
      <c r="O9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6" spans="15:15" x14ac:dyDescent="0.3">
      <c r="O9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7" spans="15:15" x14ac:dyDescent="0.3">
      <c r="O9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8" spans="15:15" x14ac:dyDescent="0.3">
      <c r="O9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49" spans="15:15" x14ac:dyDescent="0.3">
      <c r="O9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0" spans="15:15" x14ac:dyDescent="0.3">
      <c r="O9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1" spans="15:15" x14ac:dyDescent="0.3">
      <c r="O9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2" spans="15:15" x14ac:dyDescent="0.3">
      <c r="O9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3" spans="15:15" x14ac:dyDescent="0.3">
      <c r="O9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4" spans="15:15" x14ac:dyDescent="0.3">
      <c r="O9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5" spans="15:15" x14ac:dyDescent="0.3">
      <c r="O9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6" spans="15:15" x14ac:dyDescent="0.3">
      <c r="O9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7" spans="15:15" x14ac:dyDescent="0.3">
      <c r="O9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8" spans="15:15" x14ac:dyDescent="0.3">
      <c r="O9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59" spans="15:15" x14ac:dyDescent="0.3">
      <c r="O9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0" spans="15:15" x14ac:dyDescent="0.3">
      <c r="O9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1" spans="15:15" x14ac:dyDescent="0.3">
      <c r="O9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2" spans="15:15" x14ac:dyDescent="0.3">
      <c r="O9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3" spans="15:15" x14ac:dyDescent="0.3">
      <c r="O9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4" spans="15:15" x14ac:dyDescent="0.3">
      <c r="O9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5" spans="15:15" x14ac:dyDescent="0.3">
      <c r="O9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6" spans="15:15" x14ac:dyDescent="0.3">
      <c r="O9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7" spans="15:15" x14ac:dyDescent="0.3">
      <c r="O9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8" spans="15:15" x14ac:dyDescent="0.3">
      <c r="O9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69" spans="15:15" x14ac:dyDescent="0.3">
      <c r="O9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0" spans="15:15" x14ac:dyDescent="0.3">
      <c r="O9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1" spans="15:15" x14ac:dyDescent="0.3">
      <c r="O9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2" spans="15:15" x14ac:dyDescent="0.3">
      <c r="O9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3" spans="15:15" x14ac:dyDescent="0.3">
      <c r="O9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4" spans="15:15" x14ac:dyDescent="0.3">
      <c r="O9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5" spans="15:15" x14ac:dyDescent="0.3">
      <c r="O9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6" spans="15:15" x14ac:dyDescent="0.3">
      <c r="O9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7" spans="15:15" x14ac:dyDescent="0.3">
      <c r="O9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8" spans="15:15" x14ac:dyDescent="0.3">
      <c r="O9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79" spans="15:15" x14ac:dyDescent="0.3">
      <c r="O9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0" spans="15:15" x14ac:dyDescent="0.3">
      <c r="O9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1" spans="15:15" x14ac:dyDescent="0.3">
      <c r="O9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2" spans="15:15" x14ac:dyDescent="0.3">
      <c r="O9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3" spans="15:15" x14ac:dyDescent="0.3">
      <c r="O9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4" spans="15:15" x14ac:dyDescent="0.3">
      <c r="O9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5" spans="15:15" x14ac:dyDescent="0.3">
      <c r="O9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6" spans="15:15" x14ac:dyDescent="0.3">
      <c r="O9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7" spans="15:15" x14ac:dyDescent="0.3">
      <c r="O9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8" spans="15:15" x14ac:dyDescent="0.3">
      <c r="O9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89" spans="15:15" x14ac:dyDescent="0.3">
      <c r="O9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0" spans="15:15" x14ac:dyDescent="0.3">
      <c r="O9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1" spans="15:15" x14ac:dyDescent="0.3">
      <c r="O9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2" spans="15:15" x14ac:dyDescent="0.3">
      <c r="O9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3" spans="15:15" x14ac:dyDescent="0.3">
      <c r="O9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4" spans="15:15" x14ac:dyDescent="0.3">
      <c r="O9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5" spans="15:15" x14ac:dyDescent="0.3">
      <c r="O9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6" spans="15:15" x14ac:dyDescent="0.3">
      <c r="O9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7" spans="15:15" x14ac:dyDescent="0.3">
      <c r="O9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8" spans="15:15" x14ac:dyDescent="0.3">
      <c r="O9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999" spans="15:15" x14ac:dyDescent="0.3">
      <c r="O9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0" spans="15:15" x14ac:dyDescent="0.3">
      <c r="O10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1" spans="15:15" x14ac:dyDescent="0.3">
      <c r="O10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2" spans="15:15" x14ac:dyDescent="0.3">
      <c r="O10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3" spans="15:15" x14ac:dyDescent="0.3">
      <c r="O10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4" spans="15:15" x14ac:dyDescent="0.3">
      <c r="O10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5" spans="15:15" x14ac:dyDescent="0.3">
      <c r="O10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6" spans="15:15" x14ac:dyDescent="0.3">
      <c r="O10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7" spans="15:15" x14ac:dyDescent="0.3">
      <c r="O10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8" spans="15:15" x14ac:dyDescent="0.3">
      <c r="O10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09" spans="15:15" x14ac:dyDescent="0.3">
      <c r="O10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0" spans="15:15" x14ac:dyDescent="0.3">
      <c r="O10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1" spans="15:15" x14ac:dyDescent="0.3">
      <c r="O10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2" spans="15:15" x14ac:dyDescent="0.3">
      <c r="O10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3" spans="15:15" x14ac:dyDescent="0.3">
      <c r="O10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4" spans="15:15" x14ac:dyDescent="0.3">
      <c r="O10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5" spans="15:15" x14ac:dyDescent="0.3">
      <c r="O10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6" spans="15:15" x14ac:dyDescent="0.3">
      <c r="O10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7" spans="15:15" x14ac:dyDescent="0.3">
      <c r="O10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8" spans="15:15" x14ac:dyDescent="0.3">
      <c r="O10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19" spans="15:15" x14ac:dyDescent="0.3">
      <c r="O10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0" spans="15:15" x14ac:dyDescent="0.3">
      <c r="O10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1" spans="15:15" x14ac:dyDescent="0.3">
      <c r="O10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2" spans="15:15" x14ac:dyDescent="0.3">
      <c r="O10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3" spans="15:15" x14ac:dyDescent="0.3">
      <c r="O10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4" spans="15:15" x14ac:dyDescent="0.3">
      <c r="O10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5" spans="15:15" x14ac:dyDescent="0.3">
      <c r="O10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6" spans="15:15" x14ac:dyDescent="0.3">
      <c r="O10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7" spans="15:15" x14ac:dyDescent="0.3">
      <c r="O10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8" spans="15:15" x14ac:dyDescent="0.3">
      <c r="O10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29" spans="15:15" x14ac:dyDescent="0.3">
      <c r="O10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0" spans="15:15" x14ac:dyDescent="0.3">
      <c r="O10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1" spans="15:15" x14ac:dyDescent="0.3">
      <c r="O10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2" spans="15:15" x14ac:dyDescent="0.3">
      <c r="O10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3" spans="15:15" x14ac:dyDescent="0.3">
      <c r="O10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4" spans="15:15" x14ac:dyDescent="0.3">
      <c r="O10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5" spans="15:15" x14ac:dyDescent="0.3">
      <c r="O10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6" spans="15:15" x14ac:dyDescent="0.3">
      <c r="O10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7" spans="15:15" x14ac:dyDescent="0.3">
      <c r="O10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8" spans="15:15" x14ac:dyDescent="0.3">
      <c r="O10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39" spans="15:15" x14ac:dyDescent="0.3">
      <c r="O10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0" spans="15:15" x14ac:dyDescent="0.3">
      <c r="O10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1" spans="15:15" x14ac:dyDescent="0.3">
      <c r="O10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2" spans="15:15" x14ac:dyDescent="0.3">
      <c r="O10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3" spans="15:15" x14ac:dyDescent="0.3">
      <c r="O10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4" spans="15:15" x14ac:dyDescent="0.3">
      <c r="O10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5" spans="15:15" x14ac:dyDescent="0.3">
      <c r="O10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6" spans="15:15" x14ac:dyDescent="0.3">
      <c r="O10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7" spans="15:15" x14ac:dyDescent="0.3">
      <c r="O10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8" spans="15:15" x14ac:dyDescent="0.3">
      <c r="O10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49" spans="15:15" x14ac:dyDescent="0.3">
      <c r="O10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0" spans="15:15" x14ac:dyDescent="0.3">
      <c r="O10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1" spans="15:15" x14ac:dyDescent="0.3">
      <c r="O10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2" spans="15:15" x14ac:dyDescent="0.3">
      <c r="O10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3" spans="15:15" x14ac:dyDescent="0.3">
      <c r="O10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4" spans="15:15" x14ac:dyDescent="0.3">
      <c r="O10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5" spans="15:15" x14ac:dyDescent="0.3">
      <c r="O10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6" spans="15:15" x14ac:dyDescent="0.3">
      <c r="O10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7" spans="15:15" x14ac:dyDescent="0.3">
      <c r="O10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8" spans="15:15" x14ac:dyDescent="0.3">
      <c r="O10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59" spans="15:15" x14ac:dyDescent="0.3">
      <c r="O10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0" spans="15:15" x14ac:dyDescent="0.3">
      <c r="O10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1" spans="15:15" x14ac:dyDescent="0.3">
      <c r="O10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2" spans="15:15" x14ac:dyDescent="0.3">
      <c r="O10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3" spans="15:15" x14ac:dyDescent="0.3">
      <c r="O10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4" spans="15:15" x14ac:dyDescent="0.3">
      <c r="O10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5" spans="15:15" x14ac:dyDescent="0.3">
      <c r="O10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6" spans="15:15" x14ac:dyDescent="0.3">
      <c r="O10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7" spans="15:15" x14ac:dyDescent="0.3">
      <c r="O10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8" spans="15:15" x14ac:dyDescent="0.3">
      <c r="O10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69" spans="15:15" x14ac:dyDescent="0.3">
      <c r="O10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0" spans="15:15" x14ac:dyDescent="0.3">
      <c r="O10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1" spans="15:15" x14ac:dyDescent="0.3">
      <c r="O10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2" spans="15:15" x14ac:dyDescent="0.3">
      <c r="O10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3" spans="15:15" x14ac:dyDescent="0.3">
      <c r="O10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4" spans="15:15" x14ac:dyDescent="0.3">
      <c r="O10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5" spans="15:15" x14ac:dyDescent="0.3">
      <c r="O10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6" spans="15:15" x14ac:dyDescent="0.3">
      <c r="O10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7" spans="15:15" x14ac:dyDescent="0.3">
      <c r="O10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8" spans="15:15" x14ac:dyDescent="0.3">
      <c r="O10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79" spans="15:15" x14ac:dyDescent="0.3">
      <c r="O10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0" spans="15:15" x14ac:dyDescent="0.3">
      <c r="O10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1" spans="15:15" x14ac:dyDescent="0.3">
      <c r="O10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2" spans="15:15" x14ac:dyDescent="0.3">
      <c r="O10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3" spans="15:15" x14ac:dyDescent="0.3">
      <c r="O10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4" spans="15:15" x14ac:dyDescent="0.3">
      <c r="O10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5" spans="15:15" x14ac:dyDescent="0.3">
      <c r="O10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6" spans="15:15" x14ac:dyDescent="0.3">
      <c r="O10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7" spans="15:15" x14ac:dyDescent="0.3">
      <c r="O10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8" spans="15:15" x14ac:dyDescent="0.3">
      <c r="O10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89" spans="15:15" x14ac:dyDescent="0.3">
      <c r="O10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0" spans="15:15" x14ac:dyDescent="0.3">
      <c r="O10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1" spans="15:15" x14ac:dyDescent="0.3">
      <c r="O10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2" spans="15:15" x14ac:dyDescent="0.3">
      <c r="O10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3" spans="15:15" x14ac:dyDescent="0.3">
      <c r="O10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4" spans="15:15" x14ac:dyDescent="0.3">
      <c r="O10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5" spans="15:15" x14ac:dyDescent="0.3">
      <c r="O10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6" spans="15:15" x14ac:dyDescent="0.3">
      <c r="O10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7" spans="15:15" x14ac:dyDescent="0.3">
      <c r="O10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8" spans="15:15" x14ac:dyDescent="0.3">
      <c r="O10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099" spans="15:15" x14ac:dyDescent="0.3">
      <c r="O10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0" spans="15:15" x14ac:dyDescent="0.3">
      <c r="O11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1" spans="15:15" x14ac:dyDescent="0.3">
      <c r="O11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2" spans="15:15" x14ac:dyDescent="0.3">
      <c r="O11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3" spans="15:15" x14ac:dyDescent="0.3">
      <c r="O11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4" spans="15:15" x14ac:dyDescent="0.3">
      <c r="O11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5" spans="15:15" x14ac:dyDescent="0.3">
      <c r="O11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6" spans="15:15" x14ac:dyDescent="0.3">
      <c r="O11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7" spans="15:15" x14ac:dyDescent="0.3">
      <c r="O11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8" spans="15:15" x14ac:dyDescent="0.3">
      <c r="O11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09" spans="15:15" x14ac:dyDescent="0.3">
      <c r="O11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0" spans="15:15" x14ac:dyDescent="0.3">
      <c r="O11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1" spans="15:15" x14ac:dyDescent="0.3">
      <c r="O11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2" spans="15:15" x14ac:dyDescent="0.3">
      <c r="O11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3" spans="15:15" x14ac:dyDescent="0.3">
      <c r="O11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4" spans="15:15" x14ac:dyDescent="0.3">
      <c r="O11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5" spans="15:15" x14ac:dyDescent="0.3">
      <c r="O11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6" spans="15:15" x14ac:dyDescent="0.3">
      <c r="O11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7" spans="15:15" x14ac:dyDescent="0.3">
      <c r="O11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8" spans="15:15" x14ac:dyDescent="0.3">
      <c r="O11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19" spans="15:15" x14ac:dyDescent="0.3">
      <c r="O11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0" spans="15:15" x14ac:dyDescent="0.3">
      <c r="O11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1" spans="15:15" x14ac:dyDescent="0.3">
      <c r="O11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2" spans="15:15" x14ac:dyDescent="0.3">
      <c r="O11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3" spans="15:15" x14ac:dyDescent="0.3">
      <c r="O11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4" spans="15:15" x14ac:dyDescent="0.3">
      <c r="O11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5" spans="15:15" x14ac:dyDescent="0.3">
      <c r="O11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6" spans="15:15" x14ac:dyDescent="0.3">
      <c r="O11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7" spans="15:15" x14ac:dyDescent="0.3">
      <c r="O11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8" spans="15:15" x14ac:dyDescent="0.3">
      <c r="O11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29" spans="15:15" x14ac:dyDescent="0.3">
      <c r="O11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0" spans="15:15" x14ac:dyDescent="0.3">
      <c r="O11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1" spans="15:15" x14ac:dyDescent="0.3">
      <c r="O11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2" spans="15:15" x14ac:dyDescent="0.3">
      <c r="O11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3" spans="15:15" x14ac:dyDescent="0.3">
      <c r="O11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4" spans="15:15" x14ac:dyDescent="0.3">
      <c r="O11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5" spans="15:15" x14ac:dyDescent="0.3">
      <c r="O11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6" spans="15:15" x14ac:dyDescent="0.3">
      <c r="O11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7" spans="15:15" x14ac:dyDescent="0.3">
      <c r="O11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8" spans="15:15" x14ac:dyDescent="0.3">
      <c r="O11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39" spans="15:15" x14ac:dyDescent="0.3">
      <c r="O11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0" spans="15:15" x14ac:dyDescent="0.3">
      <c r="O11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1" spans="15:15" x14ac:dyDescent="0.3">
      <c r="O11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2" spans="15:15" x14ac:dyDescent="0.3">
      <c r="O11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3" spans="15:15" x14ac:dyDescent="0.3">
      <c r="O11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4" spans="15:15" x14ac:dyDescent="0.3">
      <c r="O11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5" spans="15:15" x14ac:dyDescent="0.3">
      <c r="O11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6" spans="15:15" x14ac:dyDescent="0.3">
      <c r="O11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7" spans="15:15" x14ac:dyDescent="0.3">
      <c r="O11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8" spans="15:15" x14ac:dyDescent="0.3">
      <c r="O11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49" spans="15:15" x14ac:dyDescent="0.3">
      <c r="O11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0" spans="15:15" x14ac:dyDescent="0.3">
      <c r="O11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1" spans="15:15" x14ac:dyDescent="0.3">
      <c r="O11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2" spans="15:15" x14ac:dyDescent="0.3">
      <c r="O11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3" spans="15:15" x14ac:dyDescent="0.3">
      <c r="O11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4" spans="15:15" x14ac:dyDescent="0.3">
      <c r="O11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5" spans="15:15" x14ac:dyDescent="0.3">
      <c r="O11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6" spans="15:15" x14ac:dyDescent="0.3">
      <c r="O11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7" spans="15:15" x14ac:dyDescent="0.3">
      <c r="O11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8" spans="15:15" x14ac:dyDescent="0.3">
      <c r="O11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59" spans="15:15" x14ac:dyDescent="0.3">
      <c r="O11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0" spans="15:15" x14ac:dyDescent="0.3">
      <c r="O11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1" spans="15:15" x14ac:dyDescent="0.3">
      <c r="O11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2" spans="15:15" x14ac:dyDescent="0.3">
      <c r="O11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3" spans="15:15" x14ac:dyDescent="0.3">
      <c r="O11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4" spans="15:15" x14ac:dyDescent="0.3">
      <c r="O11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5" spans="15:15" x14ac:dyDescent="0.3">
      <c r="O11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6" spans="15:15" x14ac:dyDescent="0.3">
      <c r="O11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7" spans="15:15" x14ac:dyDescent="0.3">
      <c r="O11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8" spans="15:15" x14ac:dyDescent="0.3">
      <c r="O11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69" spans="15:15" x14ac:dyDescent="0.3">
      <c r="O11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0" spans="15:15" x14ac:dyDescent="0.3">
      <c r="O11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1" spans="15:15" x14ac:dyDescent="0.3">
      <c r="O11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2" spans="15:15" x14ac:dyDescent="0.3">
      <c r="O11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3" spans="15:15" x14ac:dyDescent="0.3">
      <c r="O11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4" spans="15:15" x14ac:dyDescent="0.3">
      <c r="O11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5" spans="15:15" x14ac:dyDescent="0.3">
      <c r="O11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6" spans="15:15" x14ac:dyDescent="0.3">
      <c r="O11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7" spans="15:15" x14ac:dyDescent="0.3">
      <c r="O11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8" spans="15:15" x14ac:dyDescent="0.3">
      <c r="O11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79" spans="15:15" x14ac:dyDescent="0.3">
      <c r="O11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0" spans="15:15" x14ac:dyDescent="0.3">
      <c r="O11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1" spans="15:15" x14ac:dyDescent="0.3">
      <c r="O11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2" spans="15:15" x14ac:dyDescent="0.3">
      <c r="O11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3" spans="15:15" x14ac:dyDescent="0.3">
      <c r="O11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4" spans="15:15" x14ac:dyDescent="0.3">
      <c r="O11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5" spans="15:15" x14ac:dyDescent="0.3">
      <c r="O11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6" spans="15:15" x14ac:dyDescent="0.3">
      <c r="O11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7" spans="15:15" x14ac:dyDescent="0.3">
      <c r="O11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8" spans="15:15" x14ac:dyDescent="0.3">
      <c r="O11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89" spans="15:15" x14ac:dyDescent="0.3">
      <c r="O11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0" spans="15:15" x14ac:dyDescent="0.3">
      <c r="O11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1" spans="15:15" x14ac:dyDescent="0.3">
      <c r="O11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2" spans="15:15" x14ac:dyDescent="0.3">
      <c r="O11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3" spans="15:15" x14ac:dyDescent="0.3">
      <c r="O11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4" spans="15:15" x14ac:dyDescent="0.3">
      <c r="O11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5" spans="15:15" x14ac:dyDescent="0.3">
      <c r="O11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6" spans="15:15" x14ac:dyDescent="0.3">
      <c r="O11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7" spans="15:15" x14ac:dyDescent="0.3">
      <c r="O11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8" spans="15:15" x14ac:dyDescent="0.3">
      <c r="O11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199" spans="15:15" x14ac:dyDescent="0.3">
      <c r="O11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0" spans="15:15" x14ac:dyDescent="0.3">
      <c r="O12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1" spans="15:15" x14ac:dyDescent="0.3">
      <c r="O12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2" spans="15:15" x14ac:dyDescent="0.3">
      <c r="O12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3" spans="15:15" x14ac:dyDescent="0.3">
      <c r="O12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4" spans="15:15" x14ac:dyDescent="0.3">
      <c r="O12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5" spans="15:15" x14ac:dyDescent="0.3">
      <c r="O12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6" spans="15:15" x14ac:dyDescent="0.3">
      <c r="O12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7" spans="15:15" x14ac:dyDescent="0.3">
      <c r="O12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8" spans="15:15" x14ac:dyDescent="0.3">
      <c r="O12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09" spans="15:15" x14ac:dyDescent="0.3">
      <c r="O12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0" spans="15:15" x14ac:dyDescent="0.3">
      <c r="O12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1" spans="15:15" x14ac:dyDescent="0.3">
      <c r="O12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2" spans="15:15" x14ac:dyDescent="0.3">
      <c r="O12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3" spans="15:15" x14ac:dyDescent="0.3">
      <c r="O12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4" spans="15:15" x14ac:dyDescent="0.3">
      <c r="O12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5" spans="15:15" x14ac:dyDescent="0.3">
      <c r="O12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6" spans="15:15" x14ac:dyDescent="0.3">
      <c r="O12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7" spans="15:15" x14ac:dyDescent="0.3">
      <c r="O12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8" spans="15:15" x14ac:dyDescent="0.3">
      <c r="O12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19" spans="15:15" x14ac:dyDescent="0.3">
      <c r="O12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0" spans="15:15" x14ac:dyDescent="0.3">
      <c r="O12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1" spans="15:15" x14ac:dyDescent="0.3">
      <c r="O12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2" spans="15:15" x14ac:dyDescent="0.3">
      <c r="O12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3" spans="15:15" x14ac:dyDescent="0.3">
      <c r="O12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4" spans="15:15" x14ac:dyDescent="0.3">
      <c r="O12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5" spans="15:15" x14ac:dyDescent="0.3">
      <c r="O12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6" spans="15:15" x14ac:dyDescent="0.3">
      <c r="O12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7" spans="15:15" x14ac:dyDescent="0.3">
      <c r="O12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8" spans="15:15" x14ac:dyDescent="0.3">
      <c r="O12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29" spans="15:15" x14ac:dyDescent="0.3">
      <c r="O12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0" spans="15:15" x14ac:dyDescent="0.3">
      <c r="O12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1" spans="15:15" x14ac:dyDescent="0.3">
      <c r="O12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2" spans="15:15" x14ac:dyDescent="0.3">
      <c r="O12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3" spans="15:15" x14ac:dyDescent="0.3">
      <c r="O12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4" spans="15:15" x14ac:dyDescent="0.3">
      <c r="O12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5" spans="15:15" x14ac:dyDescent="0.3">
      <c r="O12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6" spans="15:15" x14ac:dyDescent="0.3">
      <c r="O12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7" spans="15:15" x14ac:dyDescent="0.3">
      <c r="O12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8" spans="15:15" x14ac:dyDescent="0.3">
      <c r="O12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39" spans="15:15" x14ac:dyDescent="0.3">
      <c r="O12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0" spans="15:15" x14ac:dyDescent="0.3">
      <c r="O12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1" spans="15:15" x14ac:dyDescent="0.3">
      <c r="O12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2" spans="15:15" x14ac:dyDescent="0.3">
      <c r="O12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3" spans="15:15" x14ac:dyDescent="0.3">
      <c r="O12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4" spans="15:15" x14ac:dyDescent="0.3">
      <c r="O12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5" spans="15:15" x14ac:dyDescent="0.3">
      <c r="O12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6" spans="15:15" x14ac:dyDescent="0.3">
      <c r="O12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7" spans="15:15" x14ac:dyDescent="0.3">
      <c r="O12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8" spans="15:15" x14ac:dyDescent="0.3">
      <c r="O12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49" spans="15:15" x14ac:dyDescent="0.3">
      <c r="O12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0" spans="15:15" x14ac:dyDescent="0.3">
      <c r="O12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1" spans="15:15" x14ac:dyDescent="0.3">
      <c r="O12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2" spans="15:15" x14ac:dyDescent="0.3">
      <c r="O12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3" spans="15:15" x14ac:dyDescent="0.3">
      <c r="O12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4" spans="15:15" x14ac:dyDescent="0.3">
      <c r="O12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5" spans="15:15" x14ac:dyDescent="0.3">
      <c r="O12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6" spans="15:15" x14ac:dyDescent="0.3">
      <c r="O12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7" spans="15:15" x14ac:dyDescent="0.3">
      <c r="O12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8" spans="15:15" x14ac:dyDescent="0.3">
      <c r="O12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59" spans="15:15" x14ac:dyDescent="0.3">
      <c r="O12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0" spans="15:15" x14ac:dyDescent="0.3">
      <c r="O12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1" spans="15:15" x14ac:dyDescent="0.3">
      <c r="O12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2" spans="15:15" x14ac:dyDescent="0.3">
      <c r="O12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3" spans="15:15" x14ac:dyDescent="0.3">
      <c r="O12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4" spans="15:15" x14ac:dyDescent="0.3">
      <c r="O12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5" spans="15:15" x14ac:dyDescent="0.3">
      <c r="O12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6" spans="15:15" x14ac:dyDescent="0.3">
      <c r="O12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7" spans="15:15" x14ac:dyDescent="0.3">
      <c r="O12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8" spans="15:15" x14ac:dyDescent="0.3">
      <c r="O12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69" spans="15:15" x14ac:dyDescent="0.3">
      <c r="O12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0" spans="15:15" x14ac:dyDescent="0.3">
      <c r="O12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1" spans="15:15" x14ac:dyDescent="0.3">
      <c r="O12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2" spans="15:15" x14ac:dyDescent="0.3">
      <c r="O12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3" spans="15:15" x14ac:dyDescent="0.3">
      <c r="O12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4" spans="15:15" x14ac:dyDescent="0.3">
      <c r="O12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5" spans="15:15" x14ac:dyDescent="0.3">
      <c r="O12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6" spans="15:15" x14ac:dyDescent="0.3">
      <c r="O12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7" spans="15:15" x14ac:dyDescent="0.3">
      <c r="O12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8" spans="15:15" x14ac:dyDescent="0.3">
      <c r="O12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79" spans="15:15" x14ac:dyDescent="0.3">
      <c r="O12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0" spans="15:15" x14ac:dyDescent="0.3">
      <c r="O12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1" spans="15:15" x14ac:dyDescent="0.3">
      <c r="O12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2" spans="15:15" x14ac:dyDescent="0.3">
      <c r="O12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3" spans="15:15" x14ac:dyDescent="0.3">
      <c r="O12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4" spans="15:15" x14ac:dyDescent="0.3">
      <c r="O12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5" spans="15:15" x14ac:dyDescent="0.3">
      <c r="O12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6" spans="15:15" x14ac:dyDescent="0.3">
      <c r="O12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7" spans="15:15" x14ac:dyDescent="0.3">
      <c r="O12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8" spans="15:15" x14ac:dyDescent="0.3">
      <c r="O12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89" spans="15:15" x14ac:dyDescent="0.3">
      <c r="O12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0" spans="15:15" x14ac:dyDescent="0.3">
      <c r="O12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1" spans="15:15" x14ac:dyDescent="0.3">
      <c r="O12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2" spans="15:15" x14ac:dyDescent="0.3">
      <c r="O12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3" spans="15:15" x14ac:dyDescent="0.3">
      <c r="O12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4" spans="15:15" x14ac:dyDescent="0.3">
      <c r="O12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5" spans="15:15" x14ac:dyDescent="0.3">
      <c r="O12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6" spans="15:15" x14ac:dyDescent="0.3">
      <c r="O12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7" spans="15:15" x14ac:dyDescent="0.3">
      <c r="O12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8" spans="15:15" x14ac:dyDescent="0.3">
      <c r="O12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299" spans="15:15" x14ac:dyDescent="0.3">
      <c r="O12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0" spans="15:15" x14ac:dyDescent="0.3">
      <c r="O13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1" spans="15:15" x14ac:dyDescent="0.3">
      <c r="O13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2" spans="15:15" x14ac:dyDescent="0.3">
      <c r="O13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3" spans="15:15" x14ac:dyDescent="0.3">
      <c r="O13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4" spans="15:15" x14ac:dyDescent="0.3">
      <c r="O13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5" spans="15:15" x14ac:dyDescent="0.3">
      <c r="O13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6" spans="15:15" x14ac:dyDescent="0.3">
      <c r="O13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7" spans="15:15" x14ac:dyDescent="0.3">
      <c r="O13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8" spans="15:15" x14ac:dyDescent="0.3">
      <c r="O13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09" spans="15:15" x14ac:dyDescent="0.3">
      <c r="O13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0" spans="15:15" x14ac:dyDescent="0.3">
      <c r="O13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1" spans="15:15" x14ac:dyDescent="0.3">
      <c r="O13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2" spans="15:15" x14ac:dyDescent="0.3">
      <c r="O13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3" spans="15:15" x14ac:dyDescent="0.3">
      <c r="O13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4" spans="15:15" x14ac:dyDescent="0.3">
      <c r="O13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5" spans="15:15" x14ac:dyDescent="0.3">
      <c r="O13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6" spans="15:15" x14ac:dyDescent="0.3">
      <c r="O13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7" spans="15:15" x14ac:dyDescent="0.3">
      <c r="O13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8" spans="15:15" x14ac:dyDescent="0.3">
      <c r="O13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19" spans="15:15" x14ac:dyDescent="0.3">
      <c r="O13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0" spans="15:15" x14ac:dyDescent="0.3">
      <c r="O13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1" spans="15:15" x14ac:dyDescent="0.3">
      <c r="O13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2" spans="15:15" x14ac:dyDescent="0.3">
      <c r="O13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3" spans="15:15" x14ac:dyDescent="0.3">
      <c r="O13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4" spans="15:15" x14ac:dyDescent="0.3">
      <c r="O13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5" spans="15:15" x14ac:dyDescent="0.3">
      <c r="O13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6" spans="15:15" x14ac:dyDescent="0.3">
      <c r="O13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7" spans="15:15" x14ac:dyDescent="0.3">
      <c r="O13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8" spans="15:15" x14ac:dyDescent="0.3">
      <c r="O13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29" spans="15:15" x14ac:dyDescent="0.3">
      <c r="O13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0" spans="15:15" x14ac:dyDescent="0.3">
      <c r="O13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1" spans="15:15" x14ac:dyDescent="0.3">
      <c r="O13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2" spans="15:15" x14ac:dyDescent="0.3">
      <c r="O13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3" spans="15:15" x14ac:dyDescent="0.3">
      <c r="O13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4" spans="15:15" x14ac:dyDescent="0.3">
      <c r="O13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5" spans="15:15" x14ac:dyDescent="0.3">
      <c r="O13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6" spans="15:15" x14ac:dyDescent="0.3">
      <c r="O13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7" spans="15:15" x14ac:dyDescent="0.3">
      <c r="O13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8" spans="15:15" x14ac:dyDescent="0.3">
      <c r="O13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39" spans="15:15" x14ac:dyDescent="0.3">
      <c r="O13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0" spans="15:15" x14ac:dyDescent="0.3">
      <c r="O13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1" spans="15:15" x14ac:dyDescent="0.3">
      <c r="O13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2" spans="15:15" x14ac:dyDescent="0.3">
      <c r="O13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3" spans="15:15" x14ac:dyDescent="0.3">
      <c r="O13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4" spans="15:15" x14ac:dyDescent="0.3">
      <c r="O13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5" spans="15:15" x14ac:dyDescent="0.3">
      <c r="O13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6" spans="15:15" x14ac:dyDescent="0.3">
      <c r="O13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7" spans="15:15" x14ac:dyDescent="0.3">
      <c r="O13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8" spans="15:15" x14ac:dyDescent="0.3">
      <c r="O13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49" spans="15:15" x14ac:dyDescent="0.3">
      <c r="O13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0" spans="15:15" x14ac:dyDescent="0.3">
      <c r="O13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1" spans="15:15" x14ac:dyDescent="0.3">
      <c r="O13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2" spans="15:15" x14ac:dyDescent="0.3">
      <c r="O13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3" spans="15:15" x14ac:dyDescent="0.3">
      <c r="O13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4" spans="15:15" x14ac:dyDescent="0.3">
      <c r="O13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5" spans="15:15" x14ac:dyDescent="0.3">
      <c r="O13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6" spans="15:15" x14ac:dyDescent="0.3">
      <c r="O13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7" spans="15:15" x14ac:dyDescent="0.3">
      <c r="O13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8" spans="15:15" x14ac:dyDescent="0.3">
      <c r="O13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59" spans="15:15" x14ac:dyDescent="0.3">
      <c r="O13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0" spans="15:15" x14ac:dyDescent="0.3">
      <c r="O13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1" spans="15:15" x14ac:dyDescent="0.3">
      <c r="O13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2" spans="15:15" x14ac:dyDescent="0.3">
      <c r="O13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3" spans="15:15" x14ac:dyDescent="0.3">
      <c r="O13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4" spans="15:15" x14ac:dyDescent="0.3">
      <c r="O13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5" spans="15:15" x14ac:dyDescent="0.3">
      <c r="O13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6" spans="15:15" x14ac:dyDescent="0.3">
      <c r="O13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7" spans="15:15" x14ac:dyDescent="0.3">
      <c r="O13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8" spans="15:15" x14ac:dyDescent="0.3">
      <c r="O13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69" spans="15:15" x14ac:dyDescent="0.3">
      <c r="O13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0" spans="15:15" x14ac:dyDescent="0.3">
      <c r="O13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1" spans="15:15" x14ac:dyDescent="0.3">
      <c r="O13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2" spans="15:15" x14ac:dyDescent="0.3">
      <c r="O13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3" spans="15:15" x14ac:dyDescent="0.3">
      <c r="O13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4" spans="15:15" x14ac:dyDescent="0.3">
      <c r="O13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5" spans="15:15" x14ac:dyDescent="0.3">
      <c r="O13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6" spans="15:15" x14ac:dyDescent="0.3">
      <c r="O13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7" spans="15:15" x14ac:dyDescent="0.3">
      <c r="O13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8" spans="15:15" x14ac:dyDescent="0.3">
      <c r="O13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79" spans="15:15" x14ac:dyDescent="0.3">
      <c r="O13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0" spans="15:15" x14ac:dyDescent="0.3">
      <c r="O13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1" spans="15:15" x14ac:dyDescent="0.3">
      <c r="O13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2" spans="15:15" x14ac:dyDescent="0.3">
      <c r="O13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3" spans="15:15" x14ac:dyDescent="0.3">
      <c r="O13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4" spans="15:15" x14ac:dyDescent="0.3">
      <c r="O13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5" spans="15:15" x14ac:dyDescent="0.3">
      <c r="O13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6" spans="15:15" x14ac:dyDescent="0.3">
      <c r="O13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7" spans="15:15" x14ac:dyDescent="0.3">
      <c r="O13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8" spans="15:15" x14ac:dyDescent="0.3">
      <c r="O13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89" spans="15:15" x14ac:dyDescent="0.3">
      <c r="O13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0" spans="15:15" x14ac:dyDescent="0.3">
      <c r="O13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1" spans="15:15" x14ac:dyDescent="0.3">
      <c r="O13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2" spans="15:15" x14ac:dyDescent="0.3">
      <c r="O13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3" spans="15:15" x14ac:dyDescent="0.3">
      <c r="O13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4" spans="15:15" x14ac:dyDescent="0.3">
      <c r="O13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5" spans="15:15" x14ac:dyDescent="0.3">
      <c r="O13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6" spans="15:15" x14ac:dyDescent="0.3">
      <c r="O13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7" spans="15:15" x14ac:dyDescent="0.3">
      <c r="O13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8" spans="15:15" x14ac:dyDescent="0.3">
      <c r="O13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399" spans="15:15" x14ac:dyDescent="0.3">
      <c r="O13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0" spans="15:15" x14ac:dyDescent="0.3">
      <c r="O14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1" spans="15:15" x14ac:dyDescent="0.3">
      <c r="O14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2" spans="15:15" x14ac:dyDescent="0.3">
      <c r="O14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3" spans="15:15" x14ac:dyDescent="0.3">
      <c r="O14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4" spans="15:15" x14ac:dyDescent="0.3">
      <c r="O14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5" spans="15:15" x14ac:dyDescent="0.3">
      <c r="O14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6" spans="15:15" x14ac:dyDescent="0.3">
      <c r="O14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7" spans="15:15" x14ac:dyDescent="0.3">
      <c r="O14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8" spans="15:15" x14ac:dyDescent="0.3">
      <c r="O14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09" spans="15:15" x14ac:dyDescent="0.3">
      <c r="O14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0" spans="15:15" x14ac:dyDescent="0.3">
      <c r="O14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1" spans="15:15" x14ac:dyDescent="0.3">
      <c r="O14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2" spans="15:15" x14ac:dyDescent="0.3">
      <c r="O14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3" spans="15:15" x14ac:dyDescent="0.3">
      <c r="O14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4" spans="15:15" x14ac:dyDescent="0.3">
      <c r="O14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5" spans="15:15" x14ac:dyDescent="0.3">
      <c r="O14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6" spans="15:15" x14ac:dyDescent="0.3">
      <c r="O14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7" spans="15:15" x14ac:dyDescent="0.3">
      <c r="O14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8" spans="15:15" x14ac:dyDescent="0.3">
      <c r="O14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19" spans="15:15" x14ac:dyDescent="0.3">
      <c r="O14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0" spans="15:15" x14ac:dyDescent="0.3">
      <c r="O14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1" spans="15:15" x14ac:dyDescent="0.3">
      <c r="O14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2" spans="15:15" x14ac:dyDescent="0.3">
      <c r="O14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3" spans="15:15" x14ac:dyDescent="0.3">
      <c r="O14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4" spans="15:15" x14ac:dyDescent="0.3">
      <c r="O14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5" spans="15:15" x14ac:dyDescent="0.3">
      <c r="O14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6" spans="15:15" x14ac:dyDescent="0.3">
      <c r="O14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7" spans="15:15" x14ac:dyDescent="0.3">
      <c r="O14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8" spans="15:15" x14ac:dyDescent="0.3">
      <c r="O14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29" spans="15:15" x14ac:dyDescent="0.3">
      <c r="O14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0" spans="15:15" x14ac:dyDescent="0.3">
      <c r="O14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1" spans="15:15" x14ac:dyDescent="0.3">
      <c r="O14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2" spans="15:15" x14ac:dyDescent="0.3">
      <c r="O14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3" spans="15:15" x14ac:dyDescent="0.3">
      <c r="O14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4" spans="15:15" x14ac:dyDescent="0.3">
      <c r="O14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5" spans="15:15" x14ac:dyDescent="0.3">
      <c r="O14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6" spans="15:15" x14ac:dyDescent="0.3">
      <c r="O14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7" spans="15:15" x14ac:dyDescent="0.3">
      <c r="O14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8" spans="15:15" x14ac:dyDescent="0.3">
      <c r="O14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39" spans="15:15" x14ac:dyDescent="0.3">
      <c r="O14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0" spans="15:15" x14ac:dyDescent="0.3">
      <c r="O14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1" spans="15:15" x14ac:dyDescent="0.3">
      <c r="O14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2" spans="15:15" x14ac:dyDescent="0.3">
      <c r="O14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3" spans="15:15" x14ac:dyDescent="0.3">
      <c r="O14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4" spans="15:15" x14ac:dyDescent="0.3">
      <c r="O14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5" spans="15:15" x14ac:dyDescent="0.3">
      <c r="O14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6" spans="15:15" x14ac:dyDescent="0.3">
      <c r="O14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7" spans="15:15" x14ac:dyDescent="0.3">
      <c r="O14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8" spans="15:15" x14ac:dyDescent="0.3">
      <c r="O14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49" spans="15:15" x14ac:dyDescent="0.3">
      <c r="O14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0" spans="15:15" x14ac:dyDescent="0.3">
      <c r="O14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1" spans="15:15" x14ac:dyDescent="0.3">
      <c r="O14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2" spans="15:15" x14ac:dyDescent="0.3">
      <c r="O14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3" spans="15:15" x14ac:dyDescent="0.3">
      <c r="O14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4" spans="15:15" x14ac:dyDescent="0.3">
      <c r="O14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5" spans="15:15" x14ac:dyDescent="0.3">
      <c r="O14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6" spans="15:15" x14ac:dyDescent="0.3">
      <c r="O14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7" spans="15:15" x14ac:dyDescent="0.3">
      <c r="O14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8" spans="15:15" x14ac:dyDescent="0.3">
      <c r="O14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59" spans="15:15" x14ac:dyDescent="0.3">
      <c r="O14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0" spans="15:15" x14ac:dyDescent="0.3">
      <c r="O14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1" spans="15:15" x14ac:dyDescent="0.3">
      <c r="O14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2" spans="15:15" x14ac:dyDescent="0.3">
      <c r="O14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3" spans="15:15" x14ac:dyDescent="0.3">
      <c r="O14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4" spans="15:15" x14ac:dyDescent="0.3">
      <c r="O14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5" spans="15:15" x14ac:dyDescent="0.3">
      <c r="O14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6" spans="15:15" x14ac:dyDescent="0.3">
      <c r="O14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7" spans="15:15" x14ac:dyDescent="0.3">
      <c r="O14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8" spans="15:15" x14ac:dyDescent="0.3">
      <c r="O14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69" spans="15:15" x14ac:dyDescent="0.3">
      <c r="O14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0" spans="15:15" x14ac:dyDescent="0.3">
      <c r="O14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1" spans="15:15" x14ac:dyDescent="0.3">
      <c r="O14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2" spans="15:15" x14ac:dyDescent="0.3">
      <c r="O14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3" spans="15:15" x14ac:dyDescent="0.3">
      <c r="O14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4" spans="15:15" x14ac:dyDescent="0.3">
      <c r="O14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5" spans="15:15" x14ac:dyDescent="0.3">
      <c r="O14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6" spans="15:15" x14ac:dyDescent="0.3">
      <c r="O14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7" spans="15:15" x14ac:dyDescent="0.3">
      <c r="O14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8" spans="15:15" x14ac:dyDescent="0.3">
      <c r="O14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79" spans="15:15" x14ac:dyDescent="0.3">
      <c r="O14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0" spans="15:15" x14ac:dyDescent="0.3">
      <c r="O14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1" spans="15:15" x14ac:dyDescent="0.3">
      <c r="O14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2" spans="15:15" x14ac:dyDescent="0.3">
      <c r="O14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3" spans="15:15" x14ac:dyDescent="0.3">
      <c r="O14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4" spans="15:15" x14ac:dyDescent="0.3">
      <c r="O14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5" spans="15:15" x14ac:dyDescent="0.3">
      <c r="O14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6" spans="15:15" x14ac:dyDescent="0.3">
      <c r="O14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7" spans="15:15" x14ac:dyDescent="0.3">
      <c r="O14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8" spans="15:15" x14ac:dyDescent="0.3">
      <c r="O14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89" spans="15:15" x14ac:dyDescent="0.3">
      <c r="O14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0" spans="15:15" x14ac:dyDescent="0.3">
      <c r="O14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1" spans="15:15" x14ac:dyDescent="0.3">
      <c r="O14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2" spans="15:15" x14ac:dyDescent="0.3">
      <c r="O14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3" spans="15:15" x14ac:dyDescent="0.3">
      <c r="O14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4" spans="15:15" x14ac:dyDescent="0.3">
      <c r="O14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5" spans="15:15" x14ac:dyDescent="0.3">
      <c r="O14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6" spans="15:15" x14ac:dyDescent="0.3">
      <c r="O14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7" spans="15:15" x14ac:dyDescent="0.3">
      <c r="O14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8" spans="15:15" x14ac:dyDescent="0.3">
      <c r="O14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499" spans="15:15" x14ac:dyDescent="0.3">
      <c r="O14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0" spans="15:15" x14ac:dyDescent="0.3">
      <c r="O15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1" spans="15:15" x14ac:dyDescent="0.3">
      <c r="O15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2" spans="15:15" x14ac:dyDescent="0.3">
      <c r="O15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3" spans="15:15" x14ac:dyDescent="0.3">
      <c r="O15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4" spans="15:15" x14ac:dyDescent="0.3">
      <c r="O15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5" spans="15:15" x14ac:dyDescent="0.3">
      <c r="O15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6" spans="15:15" x14ac:dyDescent="0.3">
      <c r="O15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7" spans="15:15" x14ac:dyDescent="0.3">
      <c r="O15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8" spans="15:15" x14ac:dyDescent="0.3">
      <c r="O15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09" spans="15:15" x14ac:dyDescent="0.3">
      <c r="O15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0" spans="15:15" x14ac:dyDescent="0.3">
      <c r="O15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1" spans="15:15" x14ac:dyDescent="0.3">
      <c r="O15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2" spans="15:15" x14ac:dyDescent="0.3">
      <c r="O15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3" spans="15:15" x14ac:dyDescent="0.3">
      <c r="O15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4" spans="15:15" x14ac:dyDescent="0.3">
      <c r="O15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5" spans="15:15" x14ac:dyDescent="0.3">
      <c r="O15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6" spans="15:15" x14ac:dyDescent="0.3">
      <c r="O15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7" spans="15:15" x14ac:dyDescent="0.3">
      <c r="O15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8" spans="15:15" x14ac:dyDescent="0.3">
      <c r="O15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19" spans="15:15" x14ac:dyDescent="0.3">
      <c r="O15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0" spans="15:15" x14ac:dyDescent="0.3">
      <c r="O15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1" spans="15:15" x14ac:dyDescent="0.3">
      <c r="O15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2" spans="15:15" x14ac:dyDescent="0.3">
      <c r="O15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3" spans="15:15" x14ac:dyDescent="0.3">
      <c r="O15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4" spans="15:15" x14ac:dyDescent="0.3">
      <c r="O15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5" spans="15:15" x14ac:dyDescent="0.3">
      <c r="O15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6" spans="15:15" x14ac:dyDescent="0.3">
      <c r="O15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7" spans="15:15" x14ac:dyDescent="0.3">
      <c r="O15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8" spans="15:15" x14ac:dyDescent="0.3">
      <c r="O15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29" spans="15:15" x14ac:dyDescent="0.3">
      <c r="O15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0" spans="15:15" x14ac:dyDescent="0.3">
      <c r="O15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1" spans="15:15" x14ac:dyDescent="0.3">
      <c r="O15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2" spans="15:15" x14ac:dyDescent="0.3">
      <c r="O15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3" spans="15:15" x14ac:dyDescent="0.3">
      <c r="O15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4" spans="15:15" x14ac:dyDescent="0.3">
      <c r="O15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5" spans="15:15" x14ac:dyDescent="0.3">
      <c r="O15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6" spans="15:15" x14ac:dyDescent="0.3">
      <c r="O15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7" spans="15:15" x14ac:dyDescent="0.3">
      <c r="O15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8" spans="15:15" x14ac:dyDescent="0.3">
      <c r="O15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39" spans="15:15" x14ac:dyDescent="0.3">
      <c r="O15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0" spans="15:15" x14ac:dyDescent="0.3">
      <c r="O15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1" spans="15:15" x14ac:dyDescent="0.3">
      <c r="O15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2" spans="15:15" x14ac:dyDescent="0.3">
      <c r="O15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3" spans="15:15" x14ac:dyDescent="0.3">
      <c r="O15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4" spans="15:15" x14ac:dyDescent="0.3">
      <c r="O15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5" spans="15:15" x14ac:dyDescent="0.3">
      <c r="O15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6" spans="15:15" x14ac:dyDescent="0.3">
      <c r="O15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7" spans="15:15" x14ac:dyDescent="0.3">
      <c r="O15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8" spans="15:15" x14ac:dyDescent="0.3">
      <c r="O15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49" spans="15:15" x14ac:dyDescent="0.3">
      <c r="O15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0" spans="15:15" x14ac:dyDescent="0.3">
      <c r="O15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1" spans="15:15" x14ac:dyDescent="0.3">
      <c r="O15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2" spans="15:15" x14ac:dyDescent="0.3">
      <c r="O15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3" spans="15:15" x14ac:dyDescent="0.3">
      <c r="O15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4" spans="15:15" x14ac:dyDescent="0.3">
      <c r="O15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5" spans="15:15" x14ac:dyDescent="0.3">
      <c r="O15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6" spans="15:15" x14ac:dyDescent="0.3">
      <c r="O15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7" spans="15:15" x14ac:dyDescent="0.3">
      <c r="O15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8" spans="15:15" x14ac:dyDescent="0.3">
      <c r="O15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59" spans="15:15" x14ac:dyDescent="0.3">
      <c r="O15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0" spans="15:15" x14ac:dyDescent="0.3">
      <c r="O15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1" spans="15:15" x14ac:dyDescent="0.3">
      <c r="O15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2" spans="15:15" x14ac:dyDescent="0.3">
      <c r="O15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3" spans="15:15" x14ac:dyDescent="0.3">
      <c r="O15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4" spans="15:15" x14ac:dyDescent="0.3">
      <c r="O15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5" spans="15:15" x14ac:dyDescent="0.3">
      <c r="O15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6" spans="15:15" x14ac:dyDescent="0.3">
      <c r="O15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7" spans="15:15" x14ac:dyDescent="0.3">
      <c r="O15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8" spans="15:15" x14ac:dyDescent="0.3">
      <c r="O15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69" spans="15:15" x14ac:dyDescent="0.3">
      <c r="O15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0" spans="15:15" x14ac:dyDescent="0.3">
      <c r="O15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1" spans="15:15" x14ac:dyDescent="0.3">
      <c r="O15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2" spans="15:15" x14ac:dyDescent="0.3">
      <c r="O15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3" spans="15:15" x14ac:dyDescent="0.3">
      <c r="O15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4" spans="15:15" x14ac:dyDescent="0.3">
      <c r="O15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5" spans="15:15" x14ac:dyDescent="0.3">
      <c r="O15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6" spans="15:15" x14ac:dyDescent="0.3">
      <c r="O15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7" spans="15:15" x14ac:dyDescent="0.3">
      <c r="O15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8" spans="15:15" x14ac:dyDescent="0.3">
      <c r="O15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79" spans="15:15" x14ac:dyDescent="0.3">
      <c r="O15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0" spans="15:15" x14ac:dyDescent="0.3">
      <c r="O15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1" spans="15:15" x14ac:dyDescent="0.3">
      <c r="O15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2" spans="15:15" x14ac:dyDescent="0.3">
      <c r="O15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3" spans="15:15" x14ac:dyDescent="0.3">
      <c r="O15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4" spans="15:15" x14ac:dyDescent="0.3">
      <c r="O15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5" spans="15:15" x14ac:dyDescent="0.3">
      <c r="O15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6" spans="15:15" x14ac:dyDescent="0.3">
      <c r="O15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7" spans="15:15" x14ac:dyDescent="0.3">
      <c r="O15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8" spans="15:15" x14ac:dyDescent="0.3">
      <c r="O15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89" spans="15:15" x14ac:dyDescent="0.3">
      <c r="O15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0" spans="15:15" x14ac:dyDescent="0.3">
      <c r="O15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1" spans="15:15" x14ac:dyDescent="0.3">
      <c r="O15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2" spans="15:15" x14ac:dyDescent="0.3">
      <c r="O15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3" spans="15:15" x14ac:dyDescent="0.3">
      <c r="O15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4" spans="15:15" x14ac:dyDescent="0.3">
      <c r="O15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5" spans="15:15" x14ac:dyDescent="0.3">
      <c r="O15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6" spans="15:15" x14ac:dyDescent="0.3">
      <c r="O15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7" spans="15:15" x14ac:dyDescent="0.3">
      <c r="O15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8" spans="15:15" x14ac:dyDescent="0.3">
      <c r="O15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599" spans="15:15" x14ac:dyDescent="0.3">
      <c r="O15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0" spans="15:15" x14ac:dyDescent="0.3">
      <c r="O16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1" spans="15:15" x14ac:dyDescent="0.3">
      <c r="O16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2" spans="15:15" x14ac:dyDescent="0.3">
      <c r="O16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3" spans="15:15" x14ac:dyDescent="0.3">
      <c r="O16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4" spans="15:15" x14ac:dyDescent="0.3">
      <c r="O16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5" spans="15:15" x14ac:dyDescent="0.3">
      <c r="O16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6" spans="15:15" x14ac:dyDescent="0.3">
      <c r="O16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7" spans="15:15" x14ac:dyDescent="0.3">
      <c r="O16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8" spans="15:15" x14ac:dyDescent="0.3">
      <c r="O16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09" spans="15:15" x14ac:dyDescent="0.3">
      <c r="O16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0" spans="15:15" x14ac:dyDescent="0.3">
      <c r="O16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1" spans="15:15" x14ac:dyDescent="0.3">
      <c r="O16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2" spans="15:15" x14ac:dyDescent="0.3">
      <c r="O16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3" spans="15:15" x14ac:dyDescent="0.3">
      <c r="O16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4" spans="15:15" x14ac:dyDescent="0.3">
      <c r="O16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5" spans="15:15" x14ac:dyDescent="0.3">
      <c r="O16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6" spans="15:15" x14ac:dyDescent="0.3">
      <c r="O16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7" spans="15:15" x14ac:dyDescent="0.3">
      <c r="O16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8" spans="15:15" x14ac:dyDescent="0.3">
      <c r="O16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19" spans="15:15" x14ac:dyDescent="0.3">
      <c r="O16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0" spans="15:15" x14ac:dyDescent="0.3">
      <c r="O16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1" spans="15:15" x14ac:dyDescent="0.3">
      <c r="O16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2" spans="15:15" x14ac:dyDescent="0.3">
      <c r="O16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3" spans="15:15" x14ac:dyDescent="0.3">
      <c r="O16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4" spans="15:15" x14ac:dyDescent="0.3">
      <c r="O16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5" spans="15:15" x14ac:dyDescent="0.3">
      <c r="O16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6" spans="15:15" x14ac:dyDescent="0.3">
      <c r="O16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7" spans="15:15" x14ac:dyDescent="0.3">
      <c r="O16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8" spans="15:15" x14ac:dyDescent="0.3">
      <c r="O16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29" spans="15:15" x14ac:dyDescent="0.3">
      <c r="O16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0" spans="15:15" x14ac:dyDescent="0.3">
      <c r="O16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1" spans="15:15" x14ac:dyDescent="0.3">
      <c r="O16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2" spans="15:15" x14ac:dyDescent="0.3">
      <c r="O16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3" spans="15:15" x14ac:dyDescent="0.3">
      <c r="O16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4" spans="15:15" x14ac:dyDescent="0.3">
      <c r="O16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5" spans="15:15" x14ac:dyDescent="0.3">
      <c r="O16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6" spans="15:15" x14ac:dyDescent="0.3">
      <c r="O16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7" spans="15:15" x14ac:dyDescent="0.3">
      <c r="O16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8" spans="15:15" x14ac:dyDescent="0.3">
      <c r="O16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39" spans="15:15" x14ac:dyDescent="0.3">
      <c r="O16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0" spans="15:15" x14ac:dyDescent="0.3">
      <c r="O16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1" spans="15:15" x14ac:dyDescent="0.3">
      <c r="O16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2" spans="15:15" x14ac:dyDescent="0.3">
      <c r="O16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3" spans="15:15" x14ac:dyDescent="0.3">
      <c r="O16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4" spans="15:15" x14ac:dyDescent="0.3">
      <c r="O16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5" spans="15:15" x14ac:dyDescent="0.3">
      <c r="O16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6" spans="15:15" x14ac:dyDescent="0.3">
      <c r="O16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7" spans="15:15" x14ac:dyDescent="0.3">
      <c r="O16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8" spans="15:15" x14ac:dyDescent="0.3">
      <c r="O16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49" spans="15:15" x14ac:dyDescent="0.3">
      <c r="O16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0" spans="15:15" x14ac:dyDescent="0.3">
      <c r="O16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1" spans="15:15" x14ac:dyDescent="0.3">
      <c r="O16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2" spans="15:15" x14ac:dyDescent="0.3">
      <c r="O16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3" spans="15:15" x14ac:dyDescent="0.3">
      <c r="O16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4" spans="15:15" x14ac:dyDescent="0.3">
      <c r="O16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5" spans="15:15" x14ac:dyDescent="0.3">
      <c r="O16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6" spans="15:15" x14ac:dyDescent="0.3">
      <c r="O16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7" spans="15:15" x14ac:dyDescent="0.3">
      <c r="O16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8" spans="15:15" x14ac:dyDescent="0.3">
      <c r="O16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59" spans="15:15" x14ac:dyDescent="0.3">
      <c r="O16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0" spans="15:15" x14ac:dyDescent="0.3">
      <c r="O16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1" spans="15:15" x14ac:dyDescent="0.3">
      <c r="O16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2" spans="15:15" x14ac:dyDescent="0.3">
      <c r="O16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3" spans="15:15" x14ac:dyDescent="0.3">
      <c r="O16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4" spans="15:15" x14ac:dyDescent="0.3">
      <c r="O16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5" spans="15:15" x14ac:dyDescent="0.3">
      <c r="O16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6" spans="15:15" x14ac:dyDescent="0.3">
      <c r="O16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7" spans="15:15" x14ac:dyDescent="0.3">
      <c r="O16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8" spans="15:15" x14ac:dyDescent="0.3">
      <c r="O16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69" spans="15:15" x14ac:dyDescent="0.3">
      <c r="O16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0" spans="15:15" x14ac:dyDescent="0.3">
      <c r="O16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1" spans="15:15" x14ac:dyDescent="0.3">
      <c r="O16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2" spans="15:15" x14ac:dyDescent="0.3">
      <c r="O16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3" spans="15:15" x14ac:dyDescent="0.3">
      <c r="O16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4" spans="15:15" x14ac:dyDescent="0.3">
      <c r="O16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5" spans="15:15" x14ac:dyDescent="0.3">
      <c r="O16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6" spans="15:15" x14ac:dyDescent="0.3">
      <c r="O16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7" spans="15:15" x14ac:dyDescent="0.3">
      <c r="O16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8" spans="15:15" x14ac:dyDescent="0.3">
      <c r="O16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79" spans="15:15" x14ac:dyDescent="0.3">
      <c r="O16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0" spans="15:15" x14ac:dyDescent="0.3">
      <c r="O16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1" spans="15:15" x14ac:dyDescent="0.3">
      <c r="O16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2" spans="15:15" x14ac:dyDescent="0.3">
      <c r="O16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3" spans="15:15" x14ac:dyDescent="0.3">
      <c r="O16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4" spans="15:15" x14ac:dyDescent="0.3">
      <c r="O16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5" spans="15:15" x14ac:dyDescent="0.3">
      <c r="O16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6" spans="15:15" x14ac:dyDescent="0.3">
      <c r="O16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7" spans="15:15" x14ac:dyDescent="0.3">
      <c r="O16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8" spans="15:15" x14ac:dyDescent="0.3">
      <c r="O16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89" spans="15:15" x14ac:dyDescent="0.3">
      <c r="O16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0" spans="15:15" x14ac:dyDescent="0.3">
      <c r="O16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1" spans="15:15" x14ac:dyDescent="0.3">
      <c r="O16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2" spans="15:15" x14ac:dyDescent="0.3">
      <c r="O16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3" spans="15:15" x14ac:dyDescent="0.3">
      <c r="O16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4" spans="15:15" x14ac:dyDescent="0.3">
      <c r="O16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5" spans="15:15" x14ac:dyDescent="0.3">
      <c r="O16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6" spans="15:15" x14ac:dyDescent="0.3">
      <c r="O16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7" spans="15:15" x14ac:dyDescent="0.3">
      <c r="O16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8" spans="15:15" x14ac:dyDescent="0.3">
      <c r="O16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699" spans="15:15" x14ac:dyDescent="0.3">
      <c r="O16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0" spans="15:15" x14ac:dyDescent="0.3">
      <c r="O17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1" spans="15:15" x14ac:dyDescent="0.3">
      <c r="O17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2" spans="15:15" x14ac:dyDescent="0.3">
      <c r="O17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3" spans="15:15" x14ac:dyDescent="0.3">
      <c r="O17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4" spans="15:15" x14ac:dyDescent="0.3">
      <c r="O17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5" spans="15:15" x14ac:dyDescent="0.3">
      <c r="O17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6" spans="15:15" x14ac:dyDescent="0.3">
      <c r="O17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7" spans="15:15" x14ac:dyDescent="0.3">
      <c r="O17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8" spans="15:15" x14ac:dyDescent="0.3">
      <c r="O17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09" spans="15:15" x14ac:dyDescent="0.3">
      <c r="O17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0" spans="15:15" x14ac:dyDescent="0.3">
      <c r="O17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1" spans="15:15" x14ac:dyDescent="0.3">
      <c r="O17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2" spans="15:15" x14ac:dyDescent="0.3">
      <c r="O17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3" spans="15:15" x14ac:dyDescent="0.3">
      <c r="O17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4" spans="15:15" x14ac:dyDescent="0.3">
      <c r="O17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5" spans="15:15" x14ac:dyDescent="0.3">
      <c r="O17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6" spans="15:15" x14ac:dyDescent="0.3">
      <c r="O17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7" spans="15:15" x14ac:dyDescent="0.3">
      <c r="O17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8" spans="15:15" x14ac:dyDescent="0.3">
      <c r="O17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19" spans="15:15" x14ac:dyDescent="0.3">
      <c r="O17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0" spans="15:15" x14ac:dyDescent="0.3">
      <c r="O17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1" spans="15:15" x14ac:dyDescent="0.3">
      <c r="O17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2" spans="15:15" x14ac:dyDescent="0.3">
      <c r="O17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3" spans="15:15" x14ac:dyDescent="0.3">
      <c r="O17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4" spans="15:15" x14ac:dyDescent="0.3">
      <c r="O17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5" spans="15:15" x14ac:dyDescent="0.3">
      <c r="O17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6" spans="15:15" x14ac:dyDescent="0.3">
      <c r="O17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7" spans="15:15" x14ac:dyDescent="0.3">
      <c r="O17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8" spans="15:15" x14ac:dyDescent="0.3">
      <c r="O17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29" spans="15:15" x14ac:dyDescent="0.3">
      <c r="O17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0" spans="15:15" x14ac:dyDescent="0.3">
      <c r="O17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1" spans="15:15" x14ac:dyDescent="0.3">
      <c r="O17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2" spans="15:15" x14ac:dyDescent="0.3">
      <c r="O17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3" spans="15:15" x14ac:dyDescent="0.3">
      <c r="O17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4" spans="15:15" x14ac:dyDescent="0.3">
      <c r="O17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5" spans="15:15" x14ac:dyDescent="0.3">
      <c r="O17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6" spans="15:15" x14ac:dyDescent="0.3">
      <c r="O17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7" spans="15:15" x14ac:dyDescent="0.3">
      <c r="O17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8" spans="15:15" x14ac:dyDescent="0.3">
      <c r="O17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39" spans="15:15" x14ac:dyDescent="0.3">
      <c r="O17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0" spans="15:15" x14ac:dyDescent="0.3">
      <c r="O17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1" spans="15:15" x14ac:dyDescent="0.3">
      <c r="O17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2" spans="15:15" x14ac:dyDescent="0.3">
      <c r="O17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3" spans="15:15" x14ac:dyDescent="0.3">
      <c r="O17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4" spans="15:15" x14ac:dyDescent="0.3">
      <c r="O17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5" spans="15:15" x14ac:dyDescent="0.3">
      <c r="O17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6" spans="15:15" x14ac:dyDescent="0.3">
      <c r="O17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7" spans="15:15" x14ac:dyDescent="0.3">
      <c r="O17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8" spans="15:15" x14ac:dyDescent="0.3">
      <c r="O17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49" spans="15:15" x14ac:dyDescent="0.3">
      <c r="O17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0" spans="15:15" x14ac:dyDescent="0.3">
      <c r="O17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1" spans="15:15" x14ac:dyDescent="0.3">
      <c r="O17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2" spans="15:15" x14ac:dyDescent="0.3">
      <c r="O17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3" spans="15:15" x14ac:dyDescent="0.3">
      <c r="O17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4" spans="15:15" x14ac:dyDescent="0.3">
      <c r="O17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5" spans="15:15" x14ac:dyDescent="0.3">
      <c r="O17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6" spans="15:15" x14ac:dyDescent="0.3">
      <c r="O17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7" spans="15:15" x14ac:dyDescent="0.3">
      <c r="O17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8" spans="15:15" x14ac:dyDescent="0.3">
      <c r="O17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59" spans="15:15" x14ac:dyDescent="0.3">
      <c r="O17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0" spans="15:15" x14ac:dyDescent="0.3">
      <c r="O17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1" spans="15:15" x14ac:dyDescent="0.3">
      <c r="O17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2" spans="15:15" x14ac:dyDescent="0.3">
      <c r="O17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3" spans="15:15" x14ac:dyDescent="0.3">
      <c r="O17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4" spans="15:15" x14ac:dyDescent="0.3">
      <c r="O17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5" spans="15:15" x14ac:dyDescent="0.3">
      <c r="O17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6" spans="15:15" x14ac:dyDescent="0.3">
      <c r="O17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7" spans="15:15" x14ac:dyDescent="0.3">
      <c r="O17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8" spans="15:15" x14ac:dyDescent="0.3">
      <c r="O17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69" spans="15:15" x14ac:dyDescent="0.3">
      <c r="O17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0" spans="15:15" x14ac:dyDescent="0.3">
      <c r="O17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1" spans="15:15" x14ac:dyDescent="0.3">
      <c r="O17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2" spans="15:15" x14ac:dyDescent="0.3">
      <c r="O17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3" spans="15:15" x14ac:dyDescent="0.3">
      <c r="O17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4" spans="15:15" x14ac:dyDescent="0.3">
      <c r="O17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5" spans="15:15" x14ac:dyDescent="0.3">
      <c r="O17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6" spans="15:15" x14ac:dyDescent="0.3">
      <c r="O17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7" spans="15:15" x14ac:dyDescent="0.3">
      <c r="O17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8" spans="15:15" x14ac:dyDescent="0.3">
      <c r="O17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79" spans="15:15" x14ac:dyDescent="0.3">
      <c r="O17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0" spans="15:15" x14ac:dyDescent="0.3">
      <c r="O17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1" spans="15:15" x14ac:dyDescent="0.3">
      <c r="O17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2" spans="15:15" x14ac:dyDescent="0.3">
      <c r="O17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3" spans="15:15" x14ac:dyDescent="0.3">
      <c r="O17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4" spans="15:15" x14ac:dyDescent="0.3">
      <c r="O17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5" spans="15:15" x14ac:dyDescent="0.3">
      <c r="O17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6" spans="15:15" x14ac:dyDescent="0.3">
      <c r="O17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7" spans="15:15" x14ac:dyDescent="0.3">
      <c r="O17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8" spans="15:15" x14ac:dyDescent="0.3">
      <c r="O17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89" spans="15:15" x14ac:dyDescent="0.3">
      <c r="O17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0" spans="15:15" x14ac:dyDescent="0.3">
      <c r="O17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1" spans="15:15" x14ac:dyDescent="0.3">
      <c r="O17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2" spans="15:15" x14ac:dyDescent="0.3">
      <c r="O17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3" spans="15:15" x14ac:dyDescent="0.3">
      <c r="O17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4" spans="15:15" x14ac:dyDescent="0.3">
      <c r="O17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5" spans="15:15" x14ac:dyDescent="0.3">
      <c r="O17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6" spans="15:15" x14ac:dyDescent="0.3">
      <c r="O17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7" spans="15:15" x14ac:dyDescent="0.3">
      <c r="O17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8" spans="15:15" x14ac:dyDescent="0.3">
      <c r="O17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799" spans="15:15" x14ac:dyDescent="0.3">
      <c r="O17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0" spans="15:15" x14ac:dyDescent="0.3">
      <c r="O18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1" spans="15:15" x14ac:dyDescent="0.3">
      <c r="O18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2" spans="15:15" x14ac:dyDescent="0.3">
      <c r="O18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3" spans="15:15" x14ac:dyDescent="0.3">
      <c r="O18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4" spans="15:15" x14ac:dyDescent="0.3">
      <c r="O18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5" spans="15:15" x14ac:dyDescent="0.3">
      <c r="O18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6" spans="15:15" x14ac:dyDescent="0.3">
      <c r="O18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7" spans="15:15" x14ac:dyDescent="0.3">
      <c r="O18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8" spans="15:15" x14ac:dyDescent="0.3">
      <c r="O18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09" spans="15:15" x14ac:dyDescent="0.3">
      <c r="O18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0" spans="15:15" x14ac:dyDescent="0.3">
      <c r="O18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1" spans="15:15" x14ac:dyDescent="0.3">
      <c r="O18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2" spans="15:15" x14ac:dyDescent="0.3">
      <c r="O18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3" spans="15:15" x14ac:dyDescent="0.3">
      <c r="O18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4" spans="15:15" x14ac:dyDescent="0.3">
      <c r="O18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5" spans="15:15" x14ac:dyDescent="0.3">
      <c r="O18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6" spans="15:15" x14ac:dyDescent="0.3">
      <c r="O18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7" spans="15:15" x14ac:dyDescent="0.3">
      <c r="O18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8" spans="15:15" x14ac:dyDescent="0.3">
      <c r="O18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19" spans="15:15" x14ac:dyDescent="0.3">
      <c r="O18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0" spans="15:15" x14ac:dyDescent="0.3">
      <c r="O18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1" spans="15:15" x14ac:dyDescent="0.3">
      <c r="O18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2" spans="15:15" x14ac:dyDescent="0.3">
      <c r="O18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3" spans="15:15" x14ac:dyDescent="0.3">
      <c r="O18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4" spans="15:15" x14ac:dyDescent="0.3">
      <c r="O18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5" spans="15:15" x14ac:dyDescent="0.3">
      <c r="O18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6" spans="15:15" x14ac:dyDescent="0.3">
      <c r="O18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7" spans="15:15" x14ac:dyDescent="0.3">
      <c r="O18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8" spans="15:15" x14ac:dyDescent="0.3">
      <c r="O18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29" spans="15:15" x14ac:dyDescent="0.3">
      <c r="O18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0" spans="15:15" x14ac:dyDescent="0.3">
      <c r="O18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1" spans="15:15" x14ac:dyDescent="0.3">
      <c r="O18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2" spans="15:15" x14ac:dyDescent="0.3">
      <c r="O18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3" spans="15:15" x14ac:dyDescent="0.3">
      <c r="O18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4" spans="15:15" x14ac:dyDescent="0.3">
      <c r="O18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5" spans="15:15" x14ac:dyDescent="0.3">
      <c r="O18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6" spans="15:15" x14ac:dyDescent="0.3">
      <c r="O18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7" spans="15:15" x14ac:dyDescent="0.3">
      <c r="O18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8" spans="15:15" x14ac:dyDescent="0.3">
      <c r="O18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39" spans="15:15" x14ac:dyDescent="0.3">
      <c r="O18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0" spans="15:15" x14ac:dyDescent="0.3">
      <c r="O18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1" spans="15:15" x14ac:dyDescent="0.3">
      <c r="O18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2" spans="15:15" x14ac:dyDescent="0.3">
      <c r="O18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3" spans="15:15" x14ac:dyDescent="0.3">
      <c r="O18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4" spans="15:15" x14ac:dyDescent="0.3">
      <c r="O18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5" spans="15:15" x14ac:dyDescent="0.3">
      <c r="O18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6" spans="15:15" x14ac:dyDescent="0.3">
      <c r="O18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7" spans="15:15" x14ac:dyDescent="0.3">
      <c r="O18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8" spans="15:15" x14ac:dyDescent="0.3">
      <c r="O18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49" spans="15:15" x14ac:dyDescent="0.3">
      <c r="O18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0" spans="15:15" x14ac:dyDescent="0.3">
      <c r="O18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1" spans="15:15" x14ac:dyDescent="0.3">
      <c r="O18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2" spans="15:15" x14ac:dyDescent="0.3">
      <c r="O18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3" spans="15:15" x14ac:dyDescent="0.3">
      <c r="O18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4" spans="15:15" x14ac:dyDescent="0.3">
      <c r="O18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5" spans="15:15" x14ac:dyDescent="0.3">
      <c r="O18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6" spans="15:15" x14ac:dyDescent="0.3">
      <c r="O18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7" spans="15:15" x14ac:dyDescent="0.3">
      <c r="O18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8" spans="15:15" x14ac:dyDescent="0.3">
      <c r="O18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59" spans="15:15" x14ac:dyDescent="0.3">
      <c r="O18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0" spans="15:15" x14ac:dyDescent="0.3">
      <c r="O18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1" spans="15:15" x14ac:dyDescent="0.3">
      <c r="O18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2" spans="15:15" x14ac:dyDescent="0.3">
      <c r="O18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3" spans="15:15" x14ac:dyDescent="0.3">
      <c r="O18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4" spans="15:15" x14ac:dyDescent="0.3">
      <c r="O18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5" spans="15:15" x14ac:dyDescent="0.3">
      <c r="O18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6" spans="15:15" x14ac:dyDescent="0.3">
      <c r="O18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7" spans="15:15" x14ac:dyDescent="0.3">
      <c r="O18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8" spans="15:15" x14ac:dyDescent="0.3">
      <c r="O18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69" spans="15:15" x14ac:dyDescent="0.3">
      <c r="O18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0" spans="15:15" x14ac:dyDescent="0.3">
      <c r="O18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1" spans="15:15" x14ac:dyDescent="0.3">
      <c r="O18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2" spans="15:15" x14ac:dyDescent="0.3">
      <c r="O18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3" spans="15:15" x14ac:dyDescent="0.3">
      <c r="O18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4" spans="15:15" x14ac:dyDescent="0.3">
      <c r="O18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5" spans="15:15" x14ac:dyDescent="0.3">
      <c r="O18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6" spans="15:15" x14ac:dyDescent="0.3">
      <c r="O18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7" spans="15:15" x14ac:dyDescent="0.3">
      <c r="O18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8" spans="15:15" x14ac:dyDescent="0.3">
      <c r="O18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79" spans="15:15" x14ac:dyDescent="0.3">
      <c r="O18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0" spans="15:15" x14ac:dyDescent="0.3">
      <c r="O18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1" spans="15:15" x14ac:dyDescent="0.3">
      <c r="O18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2" spans="15:15" x14ac:dyDescent="0.3">
      <c r="O18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3" spans="15:15" x14ac:dyDescent="0.3">
      <c r="O18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4" spans="15:15" x14ac:dyDescent="0.3">
      <c r="O18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5" spans="15:15" x14ac:dyDescent="0.3">
      <c r="O18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6" spans="15:15" x14ac:dyDescent="0.3">
      <c r="O18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7" spans="15:15" x14ac:dyDescent="0.3">
      <c r="O18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8" spans="15:15" x14ac:dyDescent="0.3">
      <c r="O18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89" spans="15:15" x14ac:dyDescent="0.3">
      <c r="O18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0" spans="15:15" x14ac:dyDescent="0.3">
      <c r="O18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1" spans="15:15" x14ac:dyDescent="0.3">
      <c r="O18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2" spans="15:15" x14ac:dyDescent="0.3">
      <c r="O18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3" spans="15:15" x14ac:dyDescent="0.3">
      <c r="O18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4" spans="15:15" x14ac:dyDescent="0.3">
      <c r="O18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5" spans="15:15" x14ac:dyDescent="0.3">
      <c r="O18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6" spans="15:15" x14ac:dyDescent="0.3">
      <c r="O18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7" spans="15:15" x14ac:dyDescent="0.3">
      <c r="O18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8" spans="15:15" x14ac:dyDescent="0.3">
      <c r="O18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899" spans="15:15" x14ac:dyDescent="0.3">
      <c r="O18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0" spans="15:15" x14ac:dyDescent="0.3">
      <c r="O19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1" spans="15:15" x14ac:dyDescent="0.3">
      <c r="O19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2" spans="15:15" x14ac:dyDescent="0.3">
      <c r="O190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3" spans="15:15" x14ac:dyDescent="0.3">
      <c r="O190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4" spans="15:15" x14ac:dyDescent="0.3">
      <c r="O190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5" spans="15:15" x14ac:dyDescent="0.3">
      <c r="O190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6" spans="15:15" x14ac:dyDescent="0.3">
      <c r="O190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7" spans="15:15" x14ac:dyDescent="0.3">
      <c r="O190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8" spans="15:15" x14ac:dyDescent="0.3">
      <c r="O190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09" spans="15:15" x14ac:dyDescent="0.3">
      <c r="O190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0" spans="15:15" x14ac:dyDescent="0.3">
      <c r="O191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1" spans="15:15" x14ac:dyDescent="0.3">
      <c r="O191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2" spans="15:15" x14ac:dyDescent="0.3">
      <c r="O191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3" spans="15:15" x14ac:dyDescent="0.3">
      <c r="O191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4" spans="15:15" x14ac:dyDescent="0.3">
      <c r="O191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5" spans="15:15" x14ac:dyDescent="0.3">
      <c r="O191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6" spans="15:15" x14ac:dyDescent="0.3">
      <c r="O191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7" spans="15:15" x14ac:dyDescent="0.3">
      <c r="O191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8" spans="15:15" x14ac:dyDescent="0.3">
      <c r="O191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19" spans="15:15" x14ac:dyDescent="0.3">
      <c r="O191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0" spans="15:15" x14ac:dyDescent="0.3">
      <c r="O192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1" spans="15:15" x14ac:dyDescent="0.3">
      <c r="O192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2" spans="15:15" x14ac:dyDescent="0.3">
      <c r="O192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3" spans="15:15" x14ac:dyDescent="0.3">
      <c r="O192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4" spans="15:15" x14ac:dyDescent="0.3">
      <c r="O192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5" spans="15:15" x14ac:dyDescent="0.3">
      <c r="O192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6" spans="15:15" x14ac:dyDescent="0.3">
      <c r="O192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7" spans="15:15" x14ac:dyDescent="0.3">
      <c r="O192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8" spans="15:15" x14ac:dyDescent="0.3">
      <c r="O192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29" spans="15:15" x14ac:dyDescent="0.3">
      <c r="O192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0" spans="15:15" x14ac:dyDescent="0.3">
      <c r="O193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1" spans="15:15" x14ac:dyDescent="0.3">
      <c r="O193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2" spans="15:15" x14ac:dyDescent="0.3">
      <c r="O193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3" spans="15:15" x14ac:dyDescent="0.3">
      <c r="O193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4" spans="15:15" x14ac:dyDescent="0.3">
      <c r="O193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5" spans="15:15" x14ac:dyDescent="0.3">
      <c r="O193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6" spans="15:15" x14ac:dyDescent="0.3">
      <c r="O193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7" spans="15:15" x14ac:dyDescent="0.3">
      <c r="O193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8" spans="15:15" x14ac:dyDescent="0.3">
      <c r="O193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39" spans="15:15" x14ac:dyDescent="0.3">
      <c r="O193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0" spans="15:15" x14ac:dyDescent="0.3">
      <c r="O194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1" spans="15:15" x14ac:dyDescent="0.3">
      <c r="O194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2" spans="15:15" x14ac:dyDescent="0.3">
      <c r="O194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3" spans="15:15" x14ac:dyDescent="0.3">
      <c r="O194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4" spans="15:15" x14ac:dyDescent="0.3">
      <c r="O194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5" spans="15:15" x14ac:dyDescent="0.3">
      <c r="O194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6" spans="15:15" x14ac:dyDescent="0.3">
      <c r="O194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7" spans="15:15" x14ac:dyDescent="0.3">
      <c r="O194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8" spans="15:15" x14ac:dyDescent="0.3">
      <c r="O194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49" spans="15:15" x14ac:dyDescent="0.3">
      <c r="O194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0" spans="15:15" x14ac:dyDescent="0.3">
      <c r="O195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1" spans="15:15" x14ac:dyDescent="0.3">
      <c r="O195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2" spans="15:15" x14ac:dyDescent="0.3">
      <c r="O195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3" spans="15:15" x14ac:dyDescent="0.3">
      <c r="O195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4" spans="15:15" x14ac:dyDescent="0.3">
      <c r="O195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5" spans="15:15" x14ac:dyDescent="0.3">
      <c r="O195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6" spans="15:15" x14ac:dyDescent="0.3">
      <c r="O195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7" spans="15:15" x14ac:dyDescent="0.3">
      <c r="O195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8" spans="15:15" x14ac:dyDescent="0.3">
      <c r="O195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59" spans="15:15" x14ac:dyDescent="0.3">
      <c r="O195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0" spans="15:15" x14ac:dyDescent="0.3">
      <c r="O196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1" spans="15:15" x14ac:dyDescent="0.3">
      <c r="O196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2" spans="15:15" x14ac:dyDescent="0.3">
      <c r="O196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3" spans="15:15" x14ac:dyDescent="0.3">
      <c r="O196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4" spans="15:15" x14ac:dyDescent="0.3">
      <c r="O196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5" spans="15:15" x14ac:dyDescent="0.3">
      <c r="O196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6" spans="15:15" x14ac:dyDescent="0.3">
      <c r="O196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7" spans="15:15" x14ac:dyDescent="0.3">
      <c r="O196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8" spans="15:15" x14ac:dyDescent="0.3">
      <c r="O196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69" spans="15:15" x14ac:dyDescent="0.3">
      <c r="O196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0" spans="15:15" x14ac:dyDescent="0.3">
      <c r="O197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1" spans="15:15" x14ac:dyDescent="0.3">
      <c r="O197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2" spans="15:15" x14ac:dyDescent="0.3">
      <c r="O197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3" spans="15:15" x14ac:dyDescent="0.3">
      <c r="O197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4" spans="15:15" x14ac:dyDescent="0.3">
      <c r="O197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5" spans="15:15" x14ac:dyDescent="0.3">
      <c r="O197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6" spans="15:15" x14ac:dyDescent="0.3">
      <c r="O197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7" spans="15:15" x14ac:dyDescent="0.3">
      <c r="O197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8" spans="15:15" x14ac:dyDescent="0.3">
      <c r="O197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79" spans="15:15" x14ac:dyDescent="0.3">
      <c r="O197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0" spans="15:15" x14ac:dyDescent="0.3">
      <c r="O198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1" spans="15:15" x14ac:dyDescent="0.3">
      <c r="O198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2" spans="15:15" x14ac:dyDescent="0.3">
      <c r="O198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3" spans="15:15" x14ac:dyDescent="0.3">
      <c r="O198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4" spans="15:15" x14ac:dyDescent="0.3">
      <c r="O198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5" spans="15:15" x14ac:dyDescent="0.3">
      <c r="O198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6" spans="15:15" x14ac:dyDescent="0.3">
      <c r="O198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7" spans="15:15" x14ac:dyDescent="0.3">
      <c r="O198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8" spans="15:15" x14ac:dyDescent="0.3">
      <c r="O198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89" spans="15:15" x14ac:dyDescent="0.3">
      <c r="O198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0" spans="15:15" x14ac:dyDescent="0.3">
      <c r="O199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1" spans="15:15" x14ac:dyDescent="0.3">
      <c r="O199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2" spans="15:15" x14ac:dyDescent="0.3">
      <c r="O1992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3" spans="15:15" x14ac:dyDescent="0.3">
      <c r="O1993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4" spans="15:15" x14ac:dyDescent="0.3">
      <c r="O1994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5" spans="15:15" x14ac:dyDescent="0.3">
      <c r="O1995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6" spans="15:15" x14ac:dyDescent="0.3">
      <c r="O1996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7" spans="15:15" x14ac:dyDescent="0.3">
      <c r="O1997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8" spans="15:15" x14ac:dyDescent="0.3">
      <c r="O1998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1999" spans="15:15" x14ac:dyDescent="0.3">
      <c r="O1999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00" spans="15:15" x14ac:dyDescent="0.3">
      <c r="O2000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  <row r="2001" spans="15:15" x14ac:dyDescent="0.3">
      <c r="O2001" t="str">
        <f>IF(ROW()-1&gt;ROWS(NewsCache[RowType]),"",IF(AND(INDEX(NewsCache[RowType],ROW()-1)="Article",INDEX(NewsCache[Mode],ROW()-1)=Headlines!$C$7,COUNTIFS(NewsSources[SourceID],INDEX(NewsCache[SourceID],ROW()-1),NewsSources[Enabled],"Yes")=1,OR(Headlines!$C$5="All industries",ISNUMBER(FIND("|"&amp;Headlines!$C$5&amp;"|",INDEX(NewsCache[Industries],ROW()-1)))),OR(Headlines!$F$5="All publishers",INDEX(NewsCache[Publisher],ROW()-1)=Headlines!$F$5)),ROW()-1,""))</f>
        <v/>
      </c>
    </row>
  </sheetData>
  <phoneticPr fontId="136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5A1CA7-0A9C-4C4E-A96E-77C7755F8E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24</vt:i4>
      </vt:variant>
    </vt:vector>
  </HeadingPairs>
  <TitlesOfParts>
    <vt:vector size="42" baseType="lpstr">
      <vt:lpstr>Performance</vt:lpstr>
      <vt:lpstr>Ledger</vt:lpstr>
      <vt:lpstr>Daily</vt:lpstr>
      <vt:lpstr>History</vt:lpstr>
      <vt:lpstr>Quotes</vt:lpstr>
      <vt:lpstr>FastQuotes</vt:lpstr>
      <vt:lpstr>Checks</vt:lpstr>
      <vt:lpstr>Guide</vt:lpstr>
      <vt:lpstr>Watchlist</vt:lpstr>
      <vt:lpstr>Stock view</vt:lpstr>
      <vt:lpstr>Trade plan</vt:lpstr>
      <vt:lpstr>Headlines</vt:lpstr>
      <vt:lpstr>Holdings</vt:lpstr>
      <vt:lpstr>Transactions</vt:lpstr>
      <vt:lpstr>Portfolio</vt:lpstr>
      <vt:lpstr>Help</vt:lpstr>
      <vt:lpstr>News fixture</vt:lpstr>
      <vt:lpstr>NewsData</vt:lpstr>
      <vt:lpstr>AvailableDates</vt:lpstr>
      <vt:lpstr>FollowSelection</vt:lpstr>
      <vt:lpstr>NewsIndustryChoices</vt:lpstr>
      <vt:lpstr>NewsMode</vt:lpstr>
      <vt:lpstr>NewsPublisherChoices</vt:lpstr>
      <vt:lpstr>PlanStockNames</vt:lpstr>
      <vt:lpstr>Checks!Print_Area</vt:lpstr>
      <vt:lpstr>Daily!Print_Area</vt:lpstr>
      <vt:lpstr>FastQuotes!Print_Area</vt:lpstr>
      <vt:lpstr>Guide!Print_Area</vt:lpstr>
      <vt:lpstr>Headlines!Print_Area</vt:lpstr>
      <vt:lpstr>Help!Print_Area</vt:lpstr>
      <vt:lpstr>History!Print_Area</vt:lpstr>
      <vt:lpstr>Holdings!Print_Area</vt:lpstr>
      <vt:lpstr>Ledger!Print_Area</vt:lpstr>
      <vt:lpstr>Performance!Print_Area</vt:lpstr>
      <vt:lpstr>Portfolio!Print_Area</vt:lpstr>
      <vt:lpstr>Quotes!Print_Area</vt:lpstr>
      <vt:lpstr>'Stock view'!Print_Area</vt:lpstr>
      <vt:lpstr>'Trade plan'!Print_Area</vt:lpstr>
      <vt:lpstr>Transactions!Print_Area</vt:lpstr>
      <vt:lpstr>Watchlist!Print_Area</vt:lpstr>
      <vt:lpstr>Help!Print_Titles</vt:lpstr>
      <vt:lpstr>'Trade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harkirat singh</cp:lastModifiedBy>
  <dcterms:created xsi:type="dcterms:W3CDTF">2026-09-20T09:29:52Z</dcterms:created>
  <dcterms:modified xsi:type="dcterms:W3CDTF">2026-09-21T17:38:58Z</dcterms:modified>
</cp:coreProperties>
</file>